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8_{B0A6EBF8-9DDB-4F86-807E-89F6EBF9911B}" xr6:coauthVersionLast="45" xr6:coauthVersionMax="45" xr10:uidLastSave="{00000000-0000-0000-0000-000000000000}"/>
  <bookViews>
    <workbookView xWindow="-120" yWindow="-120" windowWidth="20730" windowHeight="11160" tabRatio="789" xr2:uid="{00000000-000D-0000-FFFF-FFFF00000000}"/>
  </bookViews>
  <sheets>
    <sheet name="Cover Page" sheetId="8" r:id="rId1"/>
    <sheet name="Generic SF CRT" sheetId="7" r:id="rId2"/>
    <sheet name="Generic SF STACR and ACIS" sheetId="1" r:id="rId3"/>
    <sheet name="Generic SF CAS and CIRT" sheetId="4" r:id="rId4"/>
    <sheet name="Generic MF DUS" sheetId="5" r:id="rId5"/>
    <sheet name="Generic MF KDeal" sheetId="6" r:id="rId6"/>
  </sheets>
  <definedNames>
    <definedName name="_xlnm.Print_Area" localSheetId="0">'Cover Page'!$A$1:$B$26</definedName>
    <definedName name="_xlnm.Print_Area" localSheetId="4">'Generic MF DUS'!$A$1:$F$125</definedName>
    <definedName name="_xlnm.Print_Area" localSheetId="5">'Generic MF KDeal'!$A$1:$F$125</definedName>
    <definedName name="_xlnm.Print_Area" localSheetId="3">'Generic SF CAS and CIRT'!$A$1:$H$178</definedName>
    <definedName name="_xlnm.Print_Area" localSheetId="1">'Generic SF CRT'!$A$1:$F$182</definedName>
    <definedName name="_xlnm.Print_Area" localSheetId="2">'Generic SF STACR and ACIS'!$A$1:$H$176</definedName>
    <definedName name="_xlnm.Print_Titles" localSheetId="4">'Generic MF DUS'!$1:$4</definedName>
    <definedName name="_xlnm.Print_Titles" localSheetId="5">'Generic MF KDeal'!$4:$5</definedName>
    <definedName name="_xlnm.Print_Titles" localSheetId="3">'Generic SF CAS and CIRT'!$1:$5</definedName>
    <definedName name="_xlnm.Print_Titles" localSheetId="1">'Generic SF CRT'!$1:$2</definedName>
    <definedName name="_xlnm.Print_Titles" localSheetId="2">'Generic SF STACR and ACIS'!$4:$4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5" i="6" l="1"/>
  <c r="D58" i="6" s="1"/>
  <c r="D49" i="6"/>
  <c r="D48" i="6"/>
  <c r="D77" i="6"/>
  <c r="D85" i="6"/>
  <c r="F101" i="6"/>
  <c r="F109" i="6" l="1"/>
  <c r="F108" i="6"/>
  <c r="F76" i="6"/>
  <c r="F40" i="6"/>
  <c r="F65" i="6" s="1"/>
  <c r="F12" i="6"/>
  <c r="F41" i="6" s="1"/>
  <c r="F125" i="5"/>
  <c r="F79" i="5"/>
  <c r="D79" i="5"/>
  <c r="F110" i="5"/>
  <c r="F82" i="5"/>
  <c r="F83" i="5" s="1"/>
  <c r="F66" i="5"/>
  <c r="F63" i="5"/>
  <c r="F86" i="5" s="1"/>
  <c r="F44" i="5"/>
  <c r="F43" i="5"/>
  <c r="F55" i="5" s="1"/>
  <c r="H178" i="4"/>
  <c r="G178" i="4"/>
  <c r="H161" i="4"/>
  <c r="G161" i="4"/>
  <c r="H160" i="4"/>
  <c r="G160" i="4"/>
  <c r="H159" i="4"/>
  <c r="G159" i="4"/>
  <c r="H120" i="4"/>
  <c r="H122" i="4" s="1"/>
  <c r="G120" i="4"/>
  <c r="G122" i="4" s="1"/>
  <c r="H119" i="4"/>
  <c r="G119" i="4"/>
  <c r="H96" i="4"/>
  <c r="H90" i="4"/>
  <c r="H81" i="4"/>
  <c r="H76" i="4"/>
  <c r="H71" i="4"/>
  <c r="H65" i="4"/>
  <c r="H95" i="4" s="1"/>
  <c r="G65" i="4"/>
  <c r="G95" i="4" s="1"/>
  <c r="H64" i="4"/>
  <c r="H80" i="4" s="1"/>
  <c r="G64" i="4"/>
  <c r="G80" i="4" s="1"/>
  <c r="G158" i="1"/>
  <c r="E159" i="4"/>
  <c r="E115" i="4"/>
  <c r="E116" i="4"/>
  <c r="D116" i="4"/>
  <c r="D115" i="4"/>
  <c r="E114" i="4"/>
  <c r="D114" i="4"/>
  <c r="H176" i="1"/>
  <c r="G115" i="1"/>
  <c r="H116" i="1"/>
  <c r="G116" i="1"/>
  <c r="H115" i="1"/>
  <c r="H114" i="1"/>
  <c r="G114" i="1"/>
  <c r="E116" i="1"/>
  <c r="D116" i="1"/>
  <c r="E115" i="1"/>
  <c r="D115" i="1"/>
  <c r="E114" i="1"/>
  <c r="D114" i="1"/>
  <c r="H160" i="1"/>
  <c r="G160" i="1"/>
  <c r="H159" i="1"/>
  <c r="G159" i="1"/>
  <c r="H158" i="1"/>
  <c r="H120" i="1"/>
  <c r="G120" i="1"/>
  <c r="H119" i="1"/>
  <c r="G119" i="1"/>
  <c r="H96" i="1"/>
  <c r="H65" i="1"/>
  <c r="H95" i="1" s="1"/>
  <c r="G65" i="1"/>
  <c r="G95" i="1" s="1"/>
  <c r="H64" i="1"/>
  <c r="H80" i="1" s="1"/>
  <c r="G64" i="1"/>
  <c r="G80" i="1" s="1"/>
  <c r="C137" i="7"/>
  <c r="D164" i="7"/>
  <c r="D163" i="7"/>
  <c r="D162" i="7"/>
  <c r="C164" i="7"/>
  <c r="C163" i="7"/>
  <c r="C162" i="7"/>
  <c r="D122" i="7"/>
  <c r="D124" i="7" s="1"/>
  <c r="D121" i="7"/>
  <c r="D123" i="7" s="1"/>
  <c r="D98" i="7"/>
  <c r="D64" i="7"/>
  <c r="D97" i="7" s="1"/>
  <c r="D63" i="7"/>
  <c r="D75" i="7" s="1"/>
  <c r="F68" i="6" l="1"/>
  <c r="F51" i="6"/>
  <c r="F54" i="6"/>
  <c r="F69" i="6"/>
  <c r="F81" i="6" s="1"/>
  <c r="F94" i="6" s="1"/>
  <c r="F55" i="6"/>
  <c r="F52" i="6"/>
  <c r="F77" i="6"/>
  <c r="F48" i="6"/>
  <c r="F64" i="6"/>
  <c r="F80" i="6" s="1"/>
  <c r="F49" i="6"/>
  <c r="F73" i="5"/>
  <c r="F76" i="5"/>
  <c r="F51" i="5"/>
  <c r="F53" i="5"/>
  <c r="H125" i="4"/>
  <c r="G71" i="4"/>
  <c r="G76" i="4"/>
  <c r="G81" i="4"/>
  <c r="G90" i="4"/>
  <c r="G96" i="4"/>
  <c r="G72" i="4"/>
  <c r="G77" i="4"/>
  <c r="G91" i="4"/>
  <c r="G97" i="4"/>
  <c r="G121" i="4"/>
  <c r="H72" i="4"/>
  <c r="H84" i="4" s="1"/>
  <c r="H77" i="4"/>
  <c r="H91" i="4"/>
  <c r="H97" i="4"/>
  <c r="H109" i="4"/>
  <c r="H121" i="4"/>
  <c r="G73" i="4"/>
  <c r="G85" i="4" s="1"/>
  <c r="G79" i="4"/>
  <c r="G92" i="4"/>
  <c r="H73" i="4"/>
  <c r="H79" i="4"/>
  <c r="H92" i="4"/>
  <c r="H104" i="4"/>
  <c r="H130" i="4"/>
  <c r="G75" i="4"/>
  <c r="H75" i="4"/>
  <c r="H83" i="4" s="1"/>
  <c r="H76" i="1"/>
  <c r="H81" i="1"/>
  <c r="H90" i="1"/>
  <c r="H130" i="1" s="1"/>
  <c r="H71" i="1"/>
  <c r="H122" i="1"/>
  <c r="G122" i="1"/>
  <c r="G71" i="1"/>
  <c r="G76" i="1"/>
  <c r="G81" i="1"/>
  <c r="G90" i="1"/>
  <c r="G96" i="1"/>
  <c r="G72" i="1"/>
  <c r="G77" i="1"/>
  <c r="G91" i="1"/>
  <c r="G97" i="1"/>
  <c r="G121" i="1"/>
  <c r="H72" i="1"/>
  <c r="H77" i="1"/>
  <c r="H91" i="1"/>
  <c r="H97" i="1"/>
  <c r="H121" i="1"/>
  <c r="G73" i="1"/>
  <c r="G79" i="1"/>
  <c r="G92" i="1"/>
  <c r="H73" i="1"/>
  <c r="H79" i="1"/>
  <c r="H92" i="1"/>
  <c r="G75" i="1"/>
  <c r="H75" i="1"/>
  <c r="H83" i="1" s="1"/>
  <c r="D72" i="7"/>
  <c r="D73" i="7"/>
  <c r="D76" i="7"/>
  <c r="D91" i="7"/>
  <c r="D77" i="7"/>
  <c r="D92" i="7"/>
  <c r="D79" i="7"/>
  <c r="D93" i="7"/>
  <c r="D80" i="7"/>
  <c r="D96" i="7"/>
  <c r="D71" i="7"/>
  <c r="D81" i="7"/>
  <c r="D55" i="5"/>
  <c r="D89" i="5"/>
  <c r="E80" i="4"/>
  <c r="D80" i="4"/>
  <c r="E81" i="1"/>
  <c r="D81" i="1"/>
  <c r="E80" i="1"/>
  <c r="D80" i="1"/>
  <c r="E79" i="1"/>
  <c r="D79" i="1"/>
  <c r="E81" i="4"/>
  <c r="E79" i="4"/>
  <c r="D81" i="4"/>
  <c r="D79" i="4"/>
  <c r="E135" i="4"/>
  <c r="D135" i="4"/>
  <c r="E135" i="1"/>
  <c r="D135" i="1"/>
  <c r="C80" i="7"/>
  <c r="C79" i="7"/>
  <c r="C81" i="7"/>
  <c r="F57" i="6" l="1"/>
  <c r="F93" i="6"/>
  <c r="F58" i="6"/>
  <c r="F116" i="6" s="1"/>
  <c r="F57" i="5"/>
  <c r="F97" i="5" s="1"/>
  <c r="F103" i="5" s="1"/>
  <c r="F116" i="5" s="1"/>
  <c r="F120" i="5" s="1"/>
  <c r="F121" i="5" s="1"/>
  <c r="H114" i="4"/>
  <c r="G83" i="4"/>
  <c r="H111" i="4"/>
  <c r="H132" i="4"/>
  <c r="H127" i="4"/>
  <c r="H106" i="4"/>
  <c r="G131" i="4"/>
  <c r="G105" i="4"/>
  <c r="G115" i="4" s="1"/>
  <c r="G110" i="4"/>
  <c r="G126" i="4"/>
  <c r="G116" i="4"/>
  <c r="H85" i="4"/>
  <c r="H116" i="4" s="1"/>
  <c r="H131" i="4"/>
  <c r="H105" i="4"/>
  <c r="H110" i="4"/>
  <c r="H126" i="4"/>
  <c r="G84" i="4"/>
  <c r="G111" i="4"/>
  <c r="G127" i="4"/>
  <c r="G144" i="4" s="1"/>
  <c r="G152" i="4" s="1"/>
  <c r="G169" i="4" s="1"/>
  <c r="G132" i="4"/>
  <c r="G106" i="4"/>
  <c r="H142" i="4"/>
  <c r="H150" i="4" s="1"/>
  <c r="H167" i="4" s="1"/>
  <c r="G125" i="4"/>
  <c r="G130" i="4"/>
  <c r="G104" i="4"/>
  <c r="G109" i="4"/>
  <c r="G85" i="1"/>
  <c r="G83" i="1"/>
  <c r="H104" i="1"/>
  <c r="H109" i="1"/>
  <c r="H125" i="1"/>
  <c r="H84" i="1"/>
  <c r="G125" i="1"/>
  <c r="G130" i="1"/>
  <c r="G104" i="1"/>
  <c r="G109" i="1"/>
  <c r="G111" i="1"/>
  <c r="G127" i="1"/>
  <c r="G132" i="1"/>
  <c r="G106" i="1"/>
  <c r="H111" i="1"/>
  <c r="H132" i="1"/>
  <c r="H106" i="1"/>
  <c r="H127" i="1"/>
  <c r="G131" i="1"/>
  <c r="G105" i="1"/>
  <c r="G110" i="1"/>
  <c r="G126" i="1"/>
  <c r="H85" i="1"/>
  <c r="H131" i="1"/>
  <c r="H105" i="1"/>
  <c r="H110" i="1"/>
  <c r="H126" i="1"/>
  <c r="G84" i="1"/>
  <c r="D133" i="7"/>
  <c r="D107" i="7"/>
  <c r="D128" i="7"/>
  <c r="D112" i="7"/>
  <c r="D85" i="7"/>
  <c r="D118" i="7" s="1"/>
  <c r="D129" i="7"/>
  <c r="D113" i="7"/>
  <c r="D134" i="7"/>
  <c r="D108" i="7"/>
  <c r="D84" i="7"/>
  <c r="D117" i="7" s="1"/>
  <c r="D83" i="7"/>
  <c r="D116" i="7" s="1"/>
  <c r="D132" i="7"/>
  <c r="D106" i="7"/>
  <c r="D127" i="7"/>
  <c r="D111" i="7"/>
  <c r="D109" i="6"/>
  <c r="D108" i="6"/>
  <c r="D110" i="5"/>
  <c r="E161" i="4"/>
  <c r="D161" i="4"/>
  <c r="E160" i="4"/>
  <c r="D160" i="4"/>
  <c r="D159" i="4"/>
  <c r="E160" i="1"/>
  <c r="E159" i="1"/>
  <c r="E158" i="1"/>
  <c r="D160" i="1"/>
  <c r="D159" i="1"/>
  <c r="D158" i="1"/>
  <c r="F100" i="6" l="1"/>
  <c r="F115" i="6" s="1"/>
  <c r="F120" i="6" s="1"/>
  <c r="F121" i="6" s="1"/>
  <c r="G143" i="4"/>
  <c r="G151" i="4" s="1"/>
  <c r="G168" i="4" s="1"/>
  <c r="G114" i="4"/>
  <c r="G142" i="4" s="1"/>
  <c r="G150" i="4" s="1"/>
  <c r="G167" i="4" s="1"/>
  <c r="H115" i="4"/>
  <c r="H143" i="4" s="1"/>
  <c r="H151" i="4" s="1"/>
  <c r="H168" i="4" s="1"/>
  <c r="H144" i="4"/>
  <c r="H152" i="4" s="1"/>
  <c r="H169" i="4" s="1"/>
  <c r="H144" i="1"/>
  <c r="H151" i="1" s="1"/>
  <c r="H167" i="1" s="1"/>
  <c r="H142" i="1"/>
  <c r="H149" i="1" s="1"/>
  <c r="H165" i="1" s="1"/>
  <c r="H143" i="1"/>
  <c r="H150" i="1" s="1"/>
  <c r="H166" i="1" s="1"/>
  <c r="G143" i="1"/>
  <c r="G150" i="1" s="1"/>
  <c r="G166" i="1" s="1"/>
  <c r="G144" i="1"/>
  <c r="G151" i="1" s="1"/>
  <c r="G167" i="1" s="1"/>
  <c r="G142" i="1"/>
  <c r="G149" i="1" s="1"/>
  <c r="G165" i="1" s="1"/>
  <c r="D147" i="7"/>
  <c r="D155" i="7" s="1"/>
  <c r="D172" i="7" s="1"/>
  <c r="D145" i="7"/>
  <c r="D153" i="7" s="1"/>
  <c r="D170" i="7" s="1"/>
  <c r="D146" i="7"/>
  <c r="D154" i="7" s="1"/>
  <c r="D171" i="7" s="1"/>
  <c r="D12" i="6"/>
  <c r="D41" i="6" s="1"/>
  <c r="D40" i="6"/>
  <c r="D76" i="6"/>
  <c r="D54" i="6" l="1"/>
  <c r="H173" i="4"/>
  <c r="H174" i="4" s="1"/>
  <c r="G173" i="4"/>
  <c r="G174" i="4" s="1"/>
  <c r="H171" i="1"/>
  <c r="H172" i="1" s="1"/>
  <c r="G171" i="1"/>
  <c r="G172" i="1" s="1"/>
  <c r="G176" i="1" s="1"/>
  <c r="D176" i="7"/>
  <c r="D177" i="7" s="1"/>
  <c r="D69" i="6"/>
  <c r="D68" i="6"/>
  <c r="D52" i="6"/>
  <c r="D51" i="6"/>
  <c r="D65" i="6"/>
  <c r="D64" i="6"/>
  <c r="D80" i="6" l="1"/>
  <c r="D93" i="6" s="1"/>
  <c r="D57" i="6"/>
  <c r="D81" i="6"/>
  <c r="D94" i="6" s="1"/>
  <c r="C122" i="7"/>
  <c r="C121" i="7"/>
  <c r="C64" i="7"/>
  <c r="C98" i="7" s="1"/>
  <c r="C63" i="7"/>
  <c r="C93" i="7" s="1"/>
  <c r="C113" i="7" s="1"/>
  <c r="D101" i="6" l="1"/>
  <c r="D116" i="6" s="1"/>
  <c r="D100" i="6"/>
  <c r="D115" i="6" s="1"/>
  <c r="C92" i="7"/>
  <c r="C112" i="7" s="1"/>
  <c r="C72" i="7"/>
  <c r="C124" i="7"/>
  <c r="C134" i="7" s="1"/>
  <c r="C77" i="7"/>
  <c r="C108" i="7"/>
  <c r="C123" i="7"/>
  <c r="C129" i="7" s="1"/>
  <c r="C75" i="7"/>
  <c r="C96" i="7"/>
  <c r="C71" i="7"/>
  <c r="C76" i="7"/>
  <c r="C91" i="7"/>
  <c r="C111" i="7" s="1"/>
  <c r="C97" i="7"/>
  <c r="C73" i="7"/>
  <c r="D120" i="6" l="1"/>
  <c r="C128" i="7"/>
  <c r="C84" i="7"/>
  <c r="C117" i="7" s="1"/>
  <c r="C83" i="7"/>
  <c r="C116" i="7" s="1"/>
  <c r="C85" i="7"/>
  <c r="C133" i="7"/>
  <c r="C127" i="7"/>
  <c r="C132" i="7"/>
  <c r="C106" i="7"/>
  <c r="C107" i="7"/>
  <c r="D65" i="1"/>
  <c r="D121" i="6" l="1"/>
  <c r="F125" i="6" s="1"/>
  <c r="C118" i="7"/>
  <c r="C147" i="7" s="1"/>
  <c r="C155" i="7" s="1"/>
  <c r="C172" i="7" s="1"/>
  <c r="C145" i="7"/>
  <c r="C153" i="7" s="1"/>
  <c r="C146" i="7" l="1"/>
  <c r="C154" i="7" s="1"/>
  <c r="C171" i="7" s="1"/>
  <c r="C170" i="7"/>
  <c r="C176" i="7" l="1"/>
  <c r="C177" i="7" s="1"/>
  <c r="D181" i="7" s="1"/>
  <c r="D44" i="5"/>
  <c r="D43" i="5"/>
  <c r="D66" i="5" l="1"/>
  <c r="D82" i="5"/>
  <c r="D120" i="4"/>
  <c r="D53" i="5" l="1"/>
  <c r="D83" i="5"/>
  <c r="D51" i="5"/>
  <c r="D63" i="5"/>
  <c r="D76" i="5" s="1"/>
  <c r="D73" i="5" l="1"/>
  <c r="D86" i="5"/>
  <c r="D57" i="5"/>
  <c r="D97" i="5" l="1"/>
  <c r="D103" i="5" s="1"/>
  <c r="D116" i="5" s="1"/>
  <c r="D120" i="5" s="1"/>
  <c r="D121" i="5" l="1"/>
  <c r="E120" i="4" l="1"/>
  <c r="E119" i="4"/>
  <c r="D119" i="4"/>
  <c r="E65" i="4"/>
  <c r="E97" i="4" s="1"/>
  <c r="D65" i="4"/>
  <c r="D95" i="4" s="1"/>
  <c r="E64" i="4"/>
  <c r="E92" i="4" s="1"/>
  <c r="E111" i="4" s="1"/>
  <c r="D64" i="4"/>
  <c r="E65" i="1"/>
  <c r="E97" i="1" s="1"/>
  <c r="E120" i="1"/>
  <c r="E119" i="1"/>
  <c r="E64" i="1"/>
  <c r="D92" i="4" l="1"/>
  <c r="D111" i="4" s="1"/>
  <c r="D121" i="4"/>
  <c r="D97" i="4"/>
  <c r="D91" i="4"/>
  <c r="D110" i="4" s="1"/>
  <c r="E121" i="4"/>
  <c r="E127" i="4" s="1"/>
  <c r="D122" i="4"/>
  <c r="D132" i="4" s="1"/>
  <c r="D72" i="4"/>
  <c r="E122" i="4"/>
  <c r="E132" i="4" s="1"/>
  <c r="D77" i="4"/>
  <c r="D106" i="4"/>
  <c r="E106" i="4"/>
  <c r="E75" i="4"/>
  <c r="E95" i="4"/>
  <c r="D71" i="4"/>
  <c r="D76" i="4"/>
  <c r="D90" i="4"/>
  <c r="D109" i="4" s="1"/>
  <c r="D96" i="4"/>
  <c r="D126" i="4" s="1"/>
  <c r="E71" i="4"/>
  <c r="E76" i="4"/>
  <c r="E90" i="4"/>
  <c r="E109" i="4" s="1"/>
  <c r="E96" i="4"/>
  <c r="E72" i="4"/>
  <c r="E77" i="4"/>
  <c r="E91" i="4"/>
  <c r="E110" i="4" s="1"/>
  <c r="D73" i="4"/>
  <c r="E73" i="4"/>
  <c r="D75" i="4"/>
  <c r="E73" i="1"/>
  <c r="E122" i="1"/>
  <c r="E121" i="1"/>
  <c r="E75" i="1"/>
  <c r="E76" i="1"/>
  <c r="E90" i="1"/>
  <c r="E109" i="1" s="1"/>
  <c r="E92" i="1"/>
  <c r="E111" i="1" s="1"/>
  <c r="E95" i="1"/>
  <c r="E71" i="1"/>
  <c r="E96" i="1"/>
  <c r="E91" i="1"/>
  <c r="E110" i="1" s="1"/>
  <c r="E72" i="1"/>
  <c r="E77" i="1"/>
  <c r="D105" i="4" l="1"/>
  <c r="D127" i="4"/>
  <c r="E85" i="4"/>
  <c r="E144" i="4" s="1"/>
  <c r="E152" i="4" s="1"/>
  <c r="E169" i="4" s="1"/>
  <c r="D84" i="4"/>
  <c r="E130" i="4"/>
  <c r="E104" i="4"/>
  <c r="E125" i="4"/>
  <c r="D83" i="4"/>
  <c r="D85" i="4"/>
  <c r="D144" i="4" s="1"/>
  <c r="D152" i="4" s="1"/>
  <c r="D169" i="4" s="1"/>
  <c r="E83" i="4"/>
  <c r="E126" i="4"/>
  <c r="E131" i="4"/>
  <c r="E105" i="4"/>
  <c r="E84" i="4"/>
  <c r="D125" i="4"/>
  <c r="D130" i="4"/>
  <c r="D104" i="4"/>
  <c r="D131" i="4"/>
  <c r="E85" i="1"/>
  <c r="E83" i="1"/>
  <c r="E127" i="1"/>
  <c r="E132" i="1"/>
  <c r="E106" i="1"/>
  <c r="E130" i="1"/>
  <c r="E104" i="1"/>
  <c r="E125" i="1"/>
  <c r="E84" i="1"/>
  <c r="E126" i="1"/>
  <c r="E131" i="1"/>
  <c r="E105" i="1"/>
  <c r="D143" i="4" l="1"/>
  <c r="D151" i="4" s="1"/>
  <c r="D168" i="4" s="1"/>
  <c r="E142" i="4"/>
  <c r="E150" i="4" s="1"/>
  <c r="E167" i="4" s="1"/>
  <c r="E143" i="4"/>
  <c r="E151" i="4" s="1"/>
  <c r="E168" i="4" s="1"/>
  <c r="D142" i="4"/>
  <c r="D150" i="4" s="1"/>
  <c r="D167" i="4" s="1"/>
  <c r="E142" i="1"/>
  <c r="E149" i="1" s="1"/>
  <c r="E165" i="1" s="1"/>
  <c r="E143" i="1"/>
  <c r="E150" i="1" s="1"/>
  <c r="E166" i="1" s="1"/>
  <c r="E144" i="1"/>
  <c r="E151" i="1" s="1"/>
  <c r="E167" i="1" s="1"/>
  <c r="D120" i="1"/>
  <c r="D119" i="1"/>
  <c r="D64" i="1"/>
  <c r="D96" i="1"/>
  <c r="E173" i="4" l="1"/>
  <c r="E174" i="4" s="1"/>
  <c r="D173" i="4"/>
  <c r="D174" i="4" s="1"/>
  <c r="E171" i="1"/>
  <c r="E172" i="1" s="1"/>
  <c r="D97" i="1"/>
  <c r="D95" i="1"/>
  <c r="D121" i="1"/>
  <c r="D91" i="1"/>
  <c r="D110" i="1" s="1"/>
  <c r="D77" i="1"/>
  <c r="D75" i="1"/>
  <c r="D71" i="1"/>
  <c r="D90" i="1"/>
  <c r="D109" i="1" s="1"/>
  <c r="D76" i="1"/>
  <c r="D73" i="1"/>
  <c r="D72" i="1"/>
  <c r="D122" i="1"/>
  <c r="D92" i="1"/>
  <c r="D111" i="1" s="1"/>
  <c r="D84" i="1" l="1"/>
  <c r="D132" i="1"/>
  <c r="D106" i="1"/>
  <c r="D127" i="1"/>
  <c r="D131" i="1"/>
  <c r="D105" i="1"/>
  <c r="D126" i="1"/>
  <c r="D85" i="1"/>
  <c r="D130" i="1"/>
  <c r="D104" i="1"/>
  <c r="D125" i="1"/>
  <c r="D83" i="1"/>
  <c r="D144" i="1" l="1"/>
  <c r="D142" i="1" l="1"/>
  <c r="D149" i="1" s="1"/>
  <c r="D165" i="1" s="1"/>
  <c r="D151" i="1"/>
  <c r="D167" i="1" s="1"/>
  <c r="D143" i="1"/>
  <c r="D150" i="1" s="1"/>
  <c r="D166" i="1" s="1"/>
  <c r="D171" i="1" l="1"/>
  <c r="D172" i="1" s="1"/>
</calcChain>
</file>

<file path=xl/sharedStrings.xml><?xml version="1.0" encoding="utf-8"?>
<sst xmlns="http://schemas.openxmlformats.org/spreadsheetml/2006/main" count="801" uniqueCount="160">
  <si>
    <t>Risk-Weighed Assets (RWA), Aggregate Unpaid Principal Balance (UPB), and Expected Loss (EL) on the Underlying Loans</t>
  </si>
  <si>
    <t>N</t>
  </si>
  <si>
    <t>CRT Tranches</t>
  </si>
  <si>
    <t>A</t>
  </si>
  <si>
    <t>M1</t>
  </si>
  <si>
    <t>B</t>
  </si>
  <si>
    <t>CRT Loss Timing Inputs</t>
  </si>
  <si>
    <t>Months to Maturity: CM</t>
  </si>
  <si>
    <t>Months to Maturity: LS</t>
  </si>
  <si>
    <t>Duration of Seasoning: CM</t>
  </si>
  <si>
    <t>Duration of Seasoning: LS</t>
  </si>
  <si>
    <t xml:space="preserve">CRT RWA Calculation </t>
  </si>
  <si>
    <t>CRT Tranche Floor</t>
  </si>
  <si>
    <t>Min Capital Requirement %</t>
  </si>
  <si>
    <t>Tranche Risk Weights</t>
  </si>
  <si>
    <t>Stress Loss Share (SLS) Expected Loss Share (ELS)</t>
  </si>
  <si>
    <t>Effectiveness Adjustments</t>
  </si>
  <si>
    <t>Loss Sharing Effectiveness Adjustment (LSEA)</t>
  </si>
  <si>
    <t>Loss Timing Effectiveness Adjustments (LTEA)</t>
  </si>
  <si>
    <t>Exposure</t>
  </si>
  <si>
    <t>Enterprise Adjusted Exposure (EAE)</t>
  </si>
  <si>
    <t>Adjusted Exposure Amount (AEA)</t>
  </si>
  <si>
    <t>Post-CRT RWA and Capital Relief</t>
  </si>
  <si>
    <t>RWA Supplement</t>
  </si>
  <si>
    <t>Post-CRT RWA by Tranche</t>
  </si>
  <si>
    <t>Aggregate Post-CRT RWA and Capital Relief</t>
  </si>
  <si>
    <t>Generic CAS Example</t>
  </si>
  <si>
    <t>DUS Loan</t>
  </si>
  <si>
    <t>Risk Weights</t>
  </si>
  <si>
    <t>Generic DUS Example</t>
  </si>
  <si>
    <t xml:space="preserve">DUS RWA Calculation </t>
  </si>
  <si>
    <t>Post-DUS RWA and Capital Relief</t>
  </si>
  <si>
    <t>Aggregate Post-DUS RWA and Capital Relief</t>
  </si>
  <si>
    <t>Post-DUS RWA</t>
  </si>
  <si>
    <t>Total Post-DUS RWA$</t>
  </si>
  <si>
    <t>Generic K-Deal Example</t>
  </si>
  <si>
    <r>
      <t xml:space="preserve">Parameter </t>
    </r>
    <r>
      <rPr>
        <i/>
        <sz val="12"/>
        <color theme="1"/>
        <rFont val="Times New Roman"/>
        <family val="1"/>
      </rPr>
      <t>EL</t>
    </r>
    <r>
      <rPr>
        <i/>
        <vertAlign val="subscript"/>
        <sz val="12"/>
        <color theme="1"/>
        <rFont val="Times New Roman"/>
        <family val="1"/>
      </rPr>
      <t>$</t>
    </r>
    <r>
      <rPr>
        <vertAlign val="subscript"/>
        <sz val="12"/>
        <color theme="1"/>
        <rFont val="Times New Roman"/>
        <family val="1"/>
      </rPr>
      <t xml:space="preserve"> </t>
    </r>
    <r>
      <rPr>
        <sz val="12"/>
        <color theme="1"/>
        <rFont val="Times New Roman"/>
        <family val="1"/>
      </rPr>
      <t xml:space="preserve">is the remaining lifetime net expected credit risk losses of the underlying mortgage exposures. </t>
    </r>
    <r>
      <rPr>
        <i/>
        <sz val="12"/>
        <color theme="1"/>
        <rFont val="Times New Roman"/>
        <family val="1"/>
      </rPr>
      <t>EL</t>
    </r>
    <r>
      <rPr>
        <i/>
        <vertAlign val="subscript"/>
        <sz val="12"/>
        <color theme="1"/>
        <rFont val="Times New Roman"/>
        <family val="1"/>
      </rPr>
      <t>$</t>
    </r>
    <r>
      <rPr>
        <sz val="12"/>
        <color theme="1"/>
        <rFont val="Times New Roman"/>
        <family val="1"/>
      </rPr>
      <t xml:space="preserve"> must be calculated internally by an Enterprise.  If the contractual terms of the CRT do not provide for the transfer of the counterparty credit risk associated with any loan-level credit enhancement or other loss sharing on the underlying mortgage exposures, then the Enterprise must calculate </t>
    </r>
    <r>
      <rPr>
        <i/>
        <sz val="12"/>
        <color theme="1"/>
        <rFont val="Times New Roman"/>
        <family val="1"/>
      </rPr>
      <t>EL</t>
    </r>
    <r>
      <rPr>
        <i/>
        <vertAlign val="subscript"/>
        <sz val="12"/>
        <color theme="1"/>
        <rFont val="Times New Roman"/>
        <family val="1"/>
      </rPr>
      <t>$</t>
    </r>
    <r>
      <rPr>
        <sz val="12"/>
        <color theme="1"/>
        <rFont val="Times New Roman"/>
        <family val="1"/>
      </rPr>
      <t xml:space="preserve"> assuming no counterparty haircuts.</t>
    </r>
  </si>
  <si>
    <r>
      <t>RWA</t>
    </r>
    <r>
      <rPr>
        <vertAlign val="subscript"/>
        <sz val="11"/>
        <color theme="1"/>
        <rFont val="Times New Roman"/>
        <family val="1"/>
      </rPr>
      <t>$</t>
    </r>
  </si>
  <si>
    <r>
      <t>CntptyRWA</t>
    </r>
    <r>
      <rPr>
        <vertAlign val="subscript"/>
        <sz val="11"/>
        <color theme="1"/>
        <rFont val="Times New Roman"/>
        <family val="1"/>
      </rPr>
      <t>$</t>
    </r>
  </si>
  <si>
    <r>
      <t>AggUPB</t>
    </r>
    <r>
      <rPr>
        <vertAlign val="subscript"/>
        <sz val="11"/>
        <color theme="1"/>
        <rFont val="Times New Roman"/>
        <family val="1"/>
      </rPr>
      <t>$</t>
    </r>
  </si>
  <si>
    <r>
      <t>EL</t>
    </r>
    <r>
      <rPr>
        <vertAlign val="subscript"/>
        <sz val="11"/>
        <color theme="1"/>
        <rFont val="Times New Roman"/>
        <family val="1"/>
      </rPr>
      <t>$</t>
    </r>
  </si>
  <si>
    <r>
      <t>Transfer CntptyRWA</t>
    </r>
    <r>
      <rPr>
        <vertAlign val="subscript"/>
        <sz val="11"/>
        <color theme="1"/>
        <rFont val="Times New Roman"/>
        <family val="1"/>
      </rPr>
      <t>$</t>
    </r>
    <r>
      <rPr>
        <sz val="11"/>
        <color theme="1"/>
        <rFont val="Times New Roman"/>
        <family val="1"/>
      </rPr>
      <t xml:space="preserve"> (Y,N)</t>
    </r>
  </si>
  <si>
    <r>
      <t>Capital Markets Percentage (CM</t>
    </r>
    <r>
      <rPr>
        <b/>
        <vertAlign val="subscript"/>
        <sz val="14"/>
        <color theme="1"/>
        <rFont val="Times New Roman"/>
        <family val="1"/>
      </rPr>
      <t>%</t>
    </r>
    <r>
      <rPr>
        <b/>
        <sz val="14"/>
        <color theme="1"/>
        <rFont val="Times New Roman"/>
        <family val="1"/>
      </rPr>
      <t>) and Loss Sharing Percentage (LS</t>
    </r>
    <r>
      <rPr>
        <b/>
        <vertAlign val="subscript"/>
        <sz val="14"/>
        <color theme="1"/>
        <rFont val="Times New Roman"/>
        <family val="1"/>
      </rPr>
      <t>%</t>
    </r>
    <r>
      <rPr>
        <b/>
        <sz val="14"/>
        <color theme="1"/>
        <rFont val="Times New Roman"/>
        <family val="1"/>
      </rPr>
      <t>)</t>
    </r>
  </si>
  <si>
    <r>
      <t>CM</t>
    </r>
    <r>
      <rPr>
        <u val="singleAccounting"/>
        <vertAlign val="subscript"/>
        <sz val="11"/>
        <color theme="1"/>
        <rFont val="Times New Roman"/>
        <family val="1"/>
      </rPr>
      <t>%</t>
    </r>
  </si>
  <si>
    <r>
      <t>LS</t>
    </r>
    <r>
      <rPr>
        <u val="singleAccounting"/>
        <vertAlign val="subscript"/>
        <sz val="11"/>
        <color theme="1"/>
        <rFont val="Times New Roman"/>
        <family val="1"/>
      </rPr>
      <t>%</t>
    </r>
  </si>
  <si>
    <r>
      <t>Loss Sharing: Collateral as a Percentage of RIF (Collat</t>
    </r>
    <r>
      <rPr>
        <b/>
        <vertAlign val="subscript"/>
        <sz val="14"/>
        <color theme="1"/>
        <rFont val="Times New Roman"/>
        <family val="1"/>
      </rPr>
      <t>%RIF</t>
    </r>
    <r>
      <rPr>
        <b/>
        <sz val="14"/>
        <color theme="1"/>
        <rFont val="Times New Roman"/>
        <family val="1"/>
      </rPr>
      <t>) and Haircut (HC</t>
    </r>
    <r>
      <rPr>
        <b/>
        <vertAlign val="subscript"/>
        <sz val="14"/>
        <color theme="1"/>
        <rFont val="Times New Roman"/>
        <family val="1"/>
      </rPr>
      <t>%</t>
    </r>
    <r>
      <rPr>
        <b/>
        <sz val="14"/>
        <color theme="1"/>
        <rFont val="Times New Roman"/>
        <family val="1"/>
      </rPr>
      <t xml:space="preserve">) </t>
    </r>
  </si>
  <si>
    <r>
      <t>Collat</t>
    </r>
    <r>
      <rPr>
        <u val="singleAccounting"/>
        <vertAlign val="subscript"/>
        <sz val="11"/>
        <color theme="1"/>
        <rFont val="Times New Roman"/>
        <family val="1"/>
      </rPr>
      <t>%RIF</t>
    </r>
  </si>
  <si>
    <r>
      <t>HC</t>
    </r>
    <r>
      <rPr>
        <u val="singleAccounting"/>
        <vertAlign val="subscript"/>
        <sz val="11"/>
        <color theme="1"/>
        <rFont val="Times New Roman"/>
        <family val="1"/>
      </rPr>
      <t>%</t>
    </r>
  </si>
  <si>
    <r>
      <t>CRTLT</t>
    </r>
    <r>
      <rPr>
        <vertAlign val="subscript"/>
        <sz val="11"/>
        <color theme="1"/>
        <rFont val="Times New Roman"/>
        <family val="1"/>
      </rPr>
      <t>M,CM</t>
    </r>
  </si>
  <si>
    <r>
      <t>CRTLT</t>
    </r>
    <r>
      <rPr>
        <vertAlign val="subscript"/>
        <sz val="11"/>
        <color theme="1"/>
        <rFont val="Times New Roman"/>
        <family val="1"/>
      </rPr>
      <t>S,CM</t>
    </r>
  </si>
  <si>
    <r>
      <t>CRTLT</t>
    </r>
    <r>
      <rPr>
        <vertAlign val="subscript"/>
        <sz val="11"/>
        <color theme="1"/>
        <rFont val="Times New Roman"/>
        <family val="1"/>
      </rPr>
      <t>M,LS</t>
    </r>
  </si>
  <si>
    <r>
      <t>CRTLT</t>
    </r>
    <r>
      <rPr>
        <vertAlign val="subscript"/>
        <sz val="11"/>
        <color theme="1"/>
        <rFont val="Times New Roman"/>
        <family val="1"/>
      </rPr>
      <t>S,LS</t>
    </r>
  </si>
  <si>
    <r>
      <t>K</t>
    </r>
    <r>
      <rPr>
        <b/>
        <vertAlign val="subscript"/>
        <sz val="14"/>
        <color theme="1"/>
        <rFont val="Times New Roman"/>
        <family val="1"/>
      </rPr>
      <t>A</t>
    </r>
    <r>
      <rPr>
        <b/>
        <sz val="14"/>
        <color theme="1"/>
        <rFont val="Times New Roman"/>
        <family val="1"/>
      </rPr>
      <t>, AggEL%, Tranche RW Floor, Min Capital Requirement Percentage</t>
    </r>
  </si>
  <si>
    <r>
      <t>K</t>
    </r>
    <r>
      <rPr>
        <vertAlign val="subscript"/>
        <sz val="11"/>
        <color theme="1"/>
        <rFont val="Times New Roman"/>
        <family val="1"/>
      </rPr>
      <t>A</t>
    </r>
  </si>
  <si>
    <r>
      <t>AggEL</t>
    </r>
    <r>
      <rPr>
        <vertAlign val="subscript"/>
        <sz val="11"/>
        <color theme="1"/>
        <rFont val="Times New Roman"/>
        <family val="1"/>
      </rPr>
      <t>%</t>
    </r>
  </si>
  <si>
    <r>
      <t>1250% if K</t>
    </r>
    <r>
      <rPr>
        <u val="singleAccounting"/>
        <vertAlign val="subscript"/>
        <sz val="11"/>
        <color theme="1"/>
        <rFont val="Times New Roman"/>
        <family val="1"/>
      </rPr>
      <t>A</t>
    </r>
    <r>
      <rPr>
        <u val="singleAccounting"/>
        <sz val="11"/>
        <color theme="1"/>
        <rFont val="Times New Roman"/>
        <family val="1"/>
      </rPr>
      <t xml:space="preserve"> + AggEL</t>
    </r>
    <r>
      <rPr>
        <u val="singleAccounting"/>
        <vertAlign val="subscript"/>
        <sz val="11"/>
        <color theme="1"/>
        <rFont val="Times New Roman"/>
        <family val="1"/>
      </rPr>
      <t xml:space="preserve">% </t>
    </r>
    <r>
      <rPr>
        <u val="singleAccounting"/>
        <sz val="11"/>
        <color theme="1"/>
        <rFont val="Times New Roman"/>
        <family val="1"/>
      </rPr>
      <t>&gt;= D</t>
    </r>
  </si>
  <si>
    <r>
      <t>10% if K</t>
    </r>
    <r>
      <rPr>
        <u val="singleAccounting"/>
        <vertAlign val="subscript"/>
        <sz val="11"/>
        <color theme="1"/>
        <rFont val="Times New Roman"/>
        <family val="1"/>
      </rPr>
      <t>A</t>
    </r>
    <r>
      <rPr>
        <u val="singleAccounting"/>
        <sz val="11"/>
        <color theme="1"/>
        <rFont val="Times New Roman"/>
        <family val="1"/>
      </rPr>
      <t xml:space="preserve"> + AggEL</t>
    </r>
    <r>
      <rPr>
        <u val="singleAccounting"/>
        <vertAlign val="subscript"/>
        <sz val="11"/>
        <color theme="1"/>
        <rFont val="Times New Roman"/>
        <family val="1"/>
      </rPr>
      <t xml:space="preserve">% </t>
    </r>
    <r>
      <rPr>
        <u val="singleAccounting"/>
        <sz val="11"/>
        <color theme="1"/>
        <rFont val="Times New Roman"/>
        <family val="1"/>
      </rPr>
      <t>&lt;= A</t>
    </r>
  </si>
  <si>
    <r>
      <t>A&lt; K</t>
    </r>
    <r>
      <rPr>
        <u val="singleAccounting"/>
        <vertAlign val="subscript"/>
        <sz val="11"/>
        <color theme="1"/>
        <rFont val="Times New Roman"/>
        <family val="1"/>
      </rPr>
      <t>A</t>
    </r>
    <r>
      <rPr>
        <u val="singleAccounting"/>
        <sz val="11"/>
        <color theme="1"/>
        <rFont val="Times New Roman"/>
        <family val="1"/>
      </rPr>
      <t xml:space="preserve"> + AggEL</t>
    </r>
    <r>
      <rPr>
        <u val="singleAccounting"/>
        <vertAlign val="subscript"/>
        <sz val="11"/>
        <color theme="1"/>
        <rFont val="Times New Roman"/>
        <family val="1"/>
      </rPr>
      <t xml:space="preserve">% </t>
    </r>
    <r>
      <rPr>
        <u val="singleAccounting"/>
        <sz val="11"/>
        <color theme="1"/>
        <rFont val="Times New Roman"/>
        <family val="1"/>
      </rPr>
      <t>&lt; D</t>
    </r>
  </si>
  <si>
    <r>
      <t>RW</t>
    </r>
    <r>
      <rPr>
        <u val="singleAccounting"/>
        <vertAlign val="subscript"/>
        <sz val="11"/>
        <color theme="1"/>
        <rFont val="Times New Roman"/>
        <family val="1"/>
      </rPr>
      <t>%,Tranche</t>
    </r>
  </si>
  <si>
    <r>
      <t>SLS</t>
    </r>
    <r>
      <rPr>
        <u val="singleAccounting"/>
        <vertAlign val="subscript"/>
        <sz val="11"/>
        <color theme="1"/>
        <rFont val="Times New Roman"/>
        <family val="1"/>
      </rPr>
      <t>%,Tranche</t>
    </r>
  </si>
  <si>
    <r>
      <t>ELS</t>
    </r>
    <r>
      <rPr>
        <u val="singleAccounting"/>
        <vertAlign val="subscript"/>
        <sz val="11"/>
        <color theme="1"/>
        <rFont val="Times New Roman"/>
        <family val="1"/>
      </rPr>
      <t>%,Tranche</t>
    </r>
  </si>
  <si>
    <r>
      <t>UncollatUL</t>
    </r>
    <r>
      <rPr>
        <u val="singleAccounting"/>
        <vertAlign val="subscript"/>
        <sz val="11"/>
        <color theme="1"/>
        <rFont val="Times New Roman"/>
        <family val="1"/>
      </rPr>
      <t>%,Tranche</t>
    </r>
  </si>
  <si>
    <r>
      <t>SRIF</t>
    </r>
    <r>
      <rPr>
        <u val="singleAccounting"/>
        <vertAlign val="subscript"/>
        <sz val="11"/>
        <color theme="1"/>
        <rFont val="Times New Roman"/>
        <family val="1"/>
      </rPr>
      <t>%,Tranche</t>
    </r>
  </si>
  <si>
    <r>
      <t>LSEA</t>
    </r>
    <r>
      <rPr>
        <u val="singleAccounting"/>
        <vertAlign val="subscript"/>
        <sz val="11"/>
        <color theme="1"/>
        <rFont val="Times New Roman"/>
        <family val="1"/>
      </rPr>
      <t>%,Tranche</t>
    </r>
  </si>
  <si>
    <r>
      <t>LTF</t>
    </r>
    <r>
      <rPr>
        <vertAlign val="subscript"/>
        <sz val="11"/>
        <color theme="1"/>
        <rFont val="Times New Roman"/>
        <family val="1"/>
      </rPr>
      <t>%,CM</t>
    </r>
  </si>
  <si>
    <r>
      <t>LTF</t>
    </r>
    <r>
      <rPr>
        <vertAlign val="subscript"/>
        <sz val="11"/>
        <color theme="1"/>
        <rFont val="Times New Roman"/>
        <family val="1"/>
      </rPr>
      <t>%,LS</t>
    </r>
  </si>
  <si>
    <r>
      <t>LTK</t>
    </r>
    <r>
      <rPr>
        <vertAlign val="subscript"/>
        <sz val="11"/>
        <color theme="1"/>
        <rFont val="Times New Roman"/>
        <family val="1"/>
      </rPr>
      <t>A,CM</t>
    </r>
  </si>
  <si>
    <r>
      <t>LTK</t>
    </r>
    <r>
      <rPr>
        <vertAlign val="subscript"/>
        <sz val="11"/>
        <color theme="1"/>
        <rFont val="Times New Roman"/>
        <family val="1"/>
      </rPr>
      <t>A,LS</t>
    </r>
  </si>
  <si>
    <r>
      <t>LTEA</t>
    </r>
    <r>
      <rPr>
        <vertAlign val="subscript"/>
        <sz val="11"/>
        <color theme="1"/>
        <rFont val="Times New Roman"/>
        <family val="1"/>
      </rPr>
      <t>%,Tranche,CM</t>
    </r>
  </si>
  <si>
    <r>
      <t>LTEA</t>
    </r>
    <r>
      <rPr>
        <vertAlign val="subscript"/>
        <sz val="11"/>
        <color theme="1"/>
        <rFont val="Times New Roman"/>
        <family val="1"/>
      </rPr>
      <t>%,Tranche,LS</t>
    </r>
  </si>
  <si>
    <r>
      <t>OEA</t>
    </r>
    <r>
      <rPr>
        <vertAlign val="subscript"/>
        <sz val="11"/>
        <color theme="1"/>
        <rFont val="Times New Roman"/>
        <family val="1"/>
      </rPr>
      <t>%</t>
    </r>
  </si>
  <si>
    <r>
      <t>EAE</t>
    </r>
    <r>
      <rPr>
        <u val="singleAccounting"/>
        <vertAlign val="subscript"/>
        <sz val="11"/>
        <color theme="1"/>
        <rFont val="Times New Roman"/>
        <family val="1"/>
      </rPr>
      <t>%,Tranche</t>
    </r>
  </si>
  <si>
    <r>
      <t>AEA</t>
    </r>
    <r>
      <rPr>
        <u val="singleAccounting"/>
        <vertAlign val="subscript"/>
        <sz val="11"/>
        <color theme="1"/>
        <rFont val="Times New Roman"/>
        <family val="1"/>
      </rPr>
      <t>$,Tranche</t>
    </r>
  </si>
  <si>
    <r>
      <t>RWASup</t>
    </r>
    <r>
      <rPr>
        <u val="singleAccounting"/>
        <vertAlign val="subscript"/>
        <sz val="11"/>
        <color theme="1"/>
        <rFont val="Times New Roman"/>
        <family val="1"/>
      </rPr>
      <t>$,Tranche</t>
    </r>
  </si>
  <si>
    <r>
      <t>RWA</t>
    </r>
    <r>
      <rPr>
        <u val="singleAccounting"/>
        <vertAlign val="subscript"/>
        <sz val="11"/>
        <color theme="1"/>
        <rFont val="Times New Roman"/>
        <family val="1"/>
      </rPr>
      <t>$,Tranche</t>
    </r>
  </si>
  <si>
    <r>
      <t>Total Post-CRT RWA</t>
    </r>
    <r>
      <rPr>
        <vertAlign val="subscript"/>
        <sz val="11"/>
        <color theme="1"/>
        <rFont val="Times New Roman"/>
        <family val="1"/>
      </rPr>
      <t>$</t>
    </r>
  </si>
  <si>
    <r>
      <t>RWA Relief</t>
    </r>
    <r>
      <rPr>
        <vertAlign val="subscript"/>
        <sz val="11"/>
        <color theme="1"/>
        <rFont val="Times New Roman"/>
        <family val="1"/>
      </rPr>
      <t>$</t>
    </r>
  </si>
  <si>
    <r>
      <t>Loss Sharing Percentage (LS</t>
    </r>
    <r>
      <rPr>
        <b/>
        <vertAlign val="subscript"/>
        <sz val="14"/>
        <color theme="1"/>
        <rFont val="Times New Roman"/>
        <family val="1"/>
      </rPr>
      <t>%</t>
    </r>
    <r>
      <rPr>
        <b/>
        <sz val="14"/>
        <color theme="1"/>
        <rFont val="Times New Roman"/>
        <family val="1"/>
      </rPr>
      <t>)</t>
    </r>
  </si>
  <si>
    <r>
      <t>CRT</t>
    </r>
    <r>
      <rPr>
        <vertAlign val="subscript"/>
        <sz val="11"/>
        <color theme="1"/>
        <rFont val="Times New Roman"/>
        <family val="1"/>
      </rPr>
      <t>RMM</t>
    </r>
  </si>
  <si>
    <r>
      <t>MME</t>
    </r>
    <r>
      <rPr>
        <vertAlign val="subscript"/>
        <sz val="11"/>
        <color theme="1"/>
        <rFont val="Times New Roman"/>
        <family val="1"/>
      </rPr>
      <t>RMM</t>
    </r>
  </si>
  <si>
    <r>
      <t>K</t>
    </r>
    <r>
      <rPr>
        <b/>
        <vertAlign val="subscript"/>
        <sz val="14"/>
        <color theme="1"/>
        <rFont val="Times New Roman"/>
        <family val="1"/>
      </rPr>
      <t>A</t>
    </r>
    <r>
      <rPr>
        <b/>
        <sz val="14"/>
        <color theme="1"/>
        <rFont val="Times New Roman"/>
        <family val="1"/>
      </rPr>
      <t>, AggEL%, RW Floor, Min Capital Requirement Percentage</t>
    </r>
  </si>
  <si>
    <r>
      <t>RW</t>
    </r>
    <r>
      <rPr>
        <u val="singleAccounting"/>
        <vertAlign val="subscript"/>
        <sz val="11"/>
        <color theme="1"/>
        <rFont val="Times New Roman"/>
        <family val="1"/>
      </rPr>
      <t>%</t>
    </r>
  </si>
  <si>
    <r>
      <t>SLS</t>
    </r>
    <r>
      <rPr>
        <u val="singleAccounting"/>
        <vertAlign val="subscript"/>
        <sz val="11"/>
        <color theme="1"/>
        <rFont val="Times New Roman"/>
        <family val="1"/>
      </rPr>
      <t>%</t>
    </r>
  </si>
  <si>
    <r>
      <t>ELS</t>
    </r>
    <r>
      <rPr>
        <u val="singleAccounting"/>
        <vertAlign val="subscript"/>
        <sz val="11"/>
        <color theme="1"/>
        <rFont val="Times New Roman"/>
        <family val="1"/>
      </rPr>
      <t>%</t>
    </r>
  </si>
  <si>
    <r>
      <t>UncollatUL</t>
    </r>
    <r>
      <rPr>
        <u val="singleAccounting"/>
        <vertAlign val="subscript"/>
        <sz val="11"/>
        <color theme="1"/>
        <rFont val="Times New Roman"/>
        <family val="1"/>
      </rPr>
      <t>%</t>
    </r>
  </si>
  <si>
    <r>
      <t>SRIF</t>
    </r>
    <r>
      <rPr>
        <u val="singleAccounting"/>
        <vertAlign val="subscript"/>
        <sz val="11"/>
        <color theme="1"/>
        <rFont val="Times New Roman"/>
        <family val="1"/>
      </rPr>
      <t>%</t>
    </r>
  </si>
  <si>
    <r>
      <t>LSEA</t>
    </r>
    <r>
      <rPr>
        <u val="singleAccounting"/>
        <vertAlign val="subscript"/>
        <sz val="11"/>
        <color theme="1"/>
        <rFont val="Times New Roman"/>
        <family val="1"/>
      </rPr>
      <t>%</t>
    </r>
  </si>
  <si>
    <r>
      <t>LTEA</t>
    </r>
    <r>
      <rPr>
        <vertAlign val="subscript"/>
        <sz val="11"/>
        <color theme="1"/>
        <rFont val="Times New Roman"/>
        <family val="1"/>
      </rPr>
      <t>%,LS</t>
    </r>
  </si>
  <si>
    <r>
      <t>EAE</t>
    </r>
    <r>
      <rPr>
        <u val="singleAccounting"/>
        <vertAlign val="subscript"/>
        <sz val="11"/>
        <color theme="1"/>
        <rFont val="Times New Roman"/>
        <family val="1"/>
      </rPr>
      <t>%</t>
    </r>
  </si>
  <si>
    <r>
      <t>AEA</t>
    </r>
    <r>
      <rPr>
        <u val="singleAccounting"/>
        <vertAlign val="subscript"/>
        <sz val="11"/>
        <color theme="1"/>
        <rFont val="Times New Roman"/>
        <family val="1"/>
      </rPr>
      <t>$</t>
    </r>
  </si>
  <si>
    <r>
      <t>RWASup</t>
    </r>
    <r>
      <rPr>
        <u val="singleAccounting"/>
        <vertAlign val="subscript"/>
        <sz val="11"/>
        <color theme="1"/>
        <rFont val="Times New Roman"/>
        <family val="1"/>
      </rPr>
      <t>$</t>
    </r>
  </si>
  <si>
    <r>
      <t>RWA</t>
    </r>
    <r>
      <rPr>
        <u val="singleAccounting"/>
        <vertAlign val="subscript"/>
        <sz val="11"/>
        <color theme="1"/>
        <rFont val="Times New Roman"/>
        <family val="1"/>
      </rPr>
      <t>$</t>
    </r>
  </si>
  <si>
    <t xml:space="preserve">If the contractual terms of the CRT provide for the transfer of the counterparty credit risk associated with any loan-level credit enhancement or other loss sharing on the underlying mortgage exposures, then set this field to "Y", otherwise set to "N". </t>
  </si>
  <si>
    <r>
      <t>Parameter</t>
    </r>
    <r>
      <rPr>
        <i/>
        <sz val="12"/>
        <color rgb="FF000000"/>
        <rFont val="Times New Roman"/>
        <family val="1"/>
      </rPr>
      <t xml:space="preserve"> A </t>
    </r>
    <r>
      <rPr>
        <sz val="12"/>
        <color rgb="FF000000"/>
        <rFont val="Times New Roman"/>
        <family val="1"/>
      </rPr>
      <t>is the attachment point for the exposure, which represents the threshold at which credit losses will first be allocated to the exposure. Parameter</t>
    </r>
    <r>
      <rPr>
        <i/>
        <sz val="12"/>
        <color rgb="FF000000"/>
        <rFont val="Times New Roman"/>
        <family val="1"/>
      </rPr>
      <t xml:space="preserve"> A </t>
    </r>
    <r>
      <rPr>
        <sz val="12"/>
        <color rgb="FF000000"/>
        <rFont val="Times New Roman"/>
        <family val="1"/>
      </rPr>
      <t>equals the ratio of the current dollar amount of underlying exposures that are subordinated to the exposure of the Enterprise to the current dollar amount of underlying exposures. Any reserve account funded by the accumulated cash flows from the underlying exposures that is subordinated to the Enterprise’s exposure may be included in the calculation of parameter</t>
    </r>
    <r>
      <rPr>
        <i/>
        <sz val="12"/>
        <color rgb="FF000000"/>
        <rFont val="Times New Roman"/>
        <family val="1"/>
      </rPr>
      <t xml:space="preserve"> A </t>
    </r>
    <r>
      <rPr>
        <sz val="12"/>
        <color rgb="FF000000"/>
        <rFont val="Times New Roman"/>
        <family val="1"/>
      </rPr>
      <t>to the extent that cash is present in the account. Parameter</t>
    </r>
    <r>
      <rPr>
        <i/>
        <sz val="12"/>
        <color rgb="FF000000"/>
        <rFont val="Times New Roman"/>
        <family val="1"/>
      </rPr>
      <t xml:space="preserve"> A </t>
    </r>
    <r>
      <rPr>
        <sz val="12"/>
        <color rgb="FF000000"/>
        <rFont val="Times New Roman"/>
        <family val="1"/>
      </rPr>
      <t xml:space="preserve">is expressed as a value between </t>
    </r>
    <r>
      <rPr>
        <sz val="12"/>
        <color theme="1"/>
        <rFont val="Times New Roman"/>
        <family val="1"/>
      </rPr>
      <t>0</t>
    </r>
    <r>
      <rPr>
        <sz val="12"/>
        <color rgb="FF000000"/>
        <rFont val="Times New Roman"/>
        <family val="1"/>
      </rPr>
      <t xml:space="preserve"> and </t>
    </r>
    <r>
      <rPr>
        <sz val="12"/>
        <color theme="1"/>
        <rFont val="Times New Roman"/>
        <family val="1"/>
      </rPr>
      <t>100 percent.</t>
    </r>
  </si>
  <si>
    <t>Parameter A</t>
  </si>
  <si>
    <t>Parameter D</t>
  </si>
  <si>
    <t>AH</t>
  </si>
  <si>
    <r>
      <t>Parameter</t>
    </r>
    <r>
      <rPr>
        <i/>
        <sz val="12"/>
        <color rgb="FF000000"/>
        <rFont val="Times New Roman"/>
        <family val="1"/>
      </rPr>
      <t xml:space="preserve"> D</t>
    </r>
    <r>
      <rPr>
        <sz val="12"/>
        <color rgb="FF000000"/>
        <rFont val="Times New Roman"/>
        <family val="1"/>
      </rPr>
      <t xml:space="preserve"> is the detachment point for the exposure, which represents the threshold at which credit losses of principal allocated to the exposure would result in a total loss of principal. Parameter</t>
    </r>
    <r>
      <rPr>
        <i/>
        <sz val="12"/>
        <color rgb="FF000000"/>
        <rFont val="Times New Roman"/>
        <family val="1"/>
      </rPr>
      <t xml:space="preserve"> D</t>
    </r>
    <r>
      <rPr>
        <sz val="12"/>
        <color rgb="FF000000"/>
        <rFont val="Times New Roman"/>
        <family val="1"/>
      </rPr>
      <t xml:space="preserve"> equals parameter</t>
    </r>
    <r>
      <rPr>
        <i/>
        <sz val="12"/>
        <color rgb="FF000000"/>
        <rFont val="Times New Roman"/>
        <family val="1"/>
      </rPr>
      <t xml:space="preserve"> A </t>
    </r>
    <r>
      <rPr>
        <sz val="12"/>
        <color rgb="FF000000"/>
        <rFont val="Times New Roman"/>
        <family val="1"/>
      </rPr>
      <t xml:space="preserve">plus the ratio of the current dollar amount of the exposures that are </t>
    </r>
    <r>
      <rPr>
        <i/>
        <sz val="12"/>
        <color rgb="FF000000"/>
        <rFont val="Times New Roman"/>
        <family val="1"/>
      </rPr>
      <t>pari passu</t>
    </r>
    <r>
      <rPr>
        <sz val="12"/>
        <color rgb="FF000000"/>
        <rFont val="Times New Roman"/>
        <family val="1"/>
      </rPr>
      <t xml:space="preserve"> with the exposure (that is, have equal seniority with respect to credit risk) to the current dollar amount of the underlying exposures. Parameter</t>
    </r>
    <r>
      <rPr>
        <i/>
        <sz val="12"/>
        <color rgb="FF000000"/>
        <rFont val="Times New Roman"/>
        <family val="1"/>
      </rPr>
      <t xml:space="preserve"> D</t>
    </r>
    <r>
      <rPr>
        <sz val="12"/>
        <color rgb="FF000000"/>
        <rFont val="Times New Roman"/>
        <family val="1"/>
      </rPr>
      <t xml:space="preserve"> is expressed as a value between </t>
    </r>
    <r>
      <rPr>
        <sz val="12"/>
        <color theme="1"/>
        <rFont val="Times New Roman"/>
        <family val="1"/>
      </rPr>
      <t>0</t>
    </r>
    <r>
      <rPr>
        <sz val="12"/>
        <color rgb="FF000000"/>
        <rFont val="Times New Roman"/>
        <family val="1"/>
      </rPr>
      <t xml:space="preserve"> and </t>
    </r>
    <r>
      <rPr>
        <sz val="12"/>
        <color theme="1"/>
        <rFont val="Times New Roman"/>
        <family val="1"/>
      </rPr>
      <t>100 percent</t>
    </r>
    <r>
      <rPr>
        <sz val="12"/>
        <color rgb="FF000000"/>
        <rFont val="Times New Roman"/>
        <family val="1"/>
      </rPr>
      <t>.</t>
    </r>
  </si>
  <si>
    <r>
      <t xml:space="preserve">Parameter </t>
    </r>
    <r>
      <rPr>
        <i/>
        <sz val="12"/>
        <color theme="1"/>
        <rFont val="Times New Roman"/>
        <family val="1"/>
      </rPr>
      <t>CM</t>
    </r>
    <r>
      <rPr>
        <i/>
        <vertAlign val="subscript"/>
        <sz val="12"/>
        <color theme="1"/>
        <rFont val="Times New Roman"/>
        <family val="1"/>
      </rPr>
      <t>%</t>
    </r>
    <r>
      <rPr>
        <sz val="12"/>
        <color theme="1"/>
        <rFont val="Times New Roman"/>
        <family val="1"/>
      </rPr>
      <t xml:space="preserve"> is the percentage of a tranche sold in the capital markets. </t>
    </r>
    <r>
      <rPr>
        <i/>
        <sz val="12"/>
        <color theme="1"/>
        <rFont val="Times New Roman"/>
        <family val="1"/>
      </rPr>
      <t>CM</t>
    </r>
    <r>
      <rPr>
        <i/>
        <vertAlign val="subscript"/>
        <sz val="12"/>
        <color theme="1"/>
        <rFont val="Times New Roman"/>
        <family val="1"/>
      </rPr>
      <t>%</t>
    </r>
    <r>
      <rPr>
        <sz val="12"/>
        <color theme="1"/>
        <rFont val="Times New Roman"/>
        <family val="1"/>
      </rPr>
      <t xml:space="preserve"> is expressed as a value between 0 and 100 percent.</t>
    </r>
  </si>
  <si>
    <r>
      <t xml:space="preserve">Parameter </t>
    </r>
    <r>
      <rPr>
        <i/>
        <sz val="12"/>
        <color theme="1"/>
        <rFont val="Times New Roman"/>
        <family val="1"/>
      </rPr>
      <t>LS</t>
    </r>
    <r>
      <rPr>
        <i/>
        <vertAlign val="subscript"/>
        <sz val="12"/>
        <color theme="1"/>
        <rFont val="Times New Roman"/>
        <family val="1"/>
      </rPr>
      <t>%</t>
    </r>
    <r>
      <rPr>
        <sz val="12"/>
        <color theme="1"/>
        <rFont val="Times New Roman"/>
        <family val="1"/>
      </rPr>
      <t xml:space="preserve"> is the percentage of a tranche that is either insured, reinsured, or afforded coverage through lender reimbursement of credit losses of principal. </t>
    </r>
    <r>
      <rPr>
        <i/>
        <sz val="12"/>
        <color theme="1"/>
        <rFont val="Times New Roman"/>
        <family val="1"/>
      </rPr>
      <t>LS</t>
    </r>
    <r>
      <rPr>
        <i/>
        <vertAlign val="subscript"/>
        <sz val="12"/>
        <color theme="1"/>
        <rFont val="Times New Roman"/>
        <family val="1"/>
      </rPr>
      <t>%</t>
    </r>
    <r>
      <rPr>
        <sz val="12"/>
        <color theme="1"/>
        <rFont val="Times New Roman"/>
        <family val="1"/>
      </rPr>
      <t xml:space="preserve"> is expressed as a value between 0 and 100 percent.</t>
    </r>
  </si>
  <si>
    <t xml:space="preserve">For single-family CRTs, the duration of seasoning for the capital markets portion of the CRT is the difference between the analysis date and original closing date. </t>
  </si>
  <si>
    <t xml:space="preserve">For single-family CRTs, the duration of seasoning for the loss sharing portion of the CRT is the difference between the analysis date and original closing date. </t>
  </si>
  <si>
    <t>The loss timing factor from Table 2 to Section 1240.44 for the capital markets portion of the CRT calculated using months to maturity for the capital markets transaction.</t>
  </si>
  <si>
    <t>The loss timing factor from Table 2 to Section 1240.44 for the loss sharing portion of the CRT calculated using months to maturity for the loss sharing transaction.</t>
  </si>
  <si>
    <t>The loss timing factor from Table 2 to Section 1240.44 for the loss sharing portion of the CRT calculated using duration of seasoning from the loss sharing transaction.</t>
  </si>
  <si>
    <t>Tranche-level risk weights:</t>
  </si>
  <si>
    <r>
      <t>Expected Loss Share.</t>
    </r>
    <r>
      <rPr>
        <sz val="12"/>
        <color theme="1"/>
        <rFont val="Times New Roman"/>
        <family val="1"/>
      </rPr>
      <t xml:space="preserve"> The expected loss share is the share of</t>
    </r>
    <r>
      <rPr>
        <sz val="12"/>
        <color rgb="FF000000"/>
        <rFont val="Times New Roman"/>
        <family val="1"/>
      </rPr>
      <t xml:space="preserve"> a tranche</t>
    </r>
    <r>
      <rPr>
        <sz val="12"/>
        <color theme="1"/>
        <rFont val="Times New Roman"/>
        <family val="1"/>
      </rPr>
      <t xml:space="preserve"> that is covered by expected loss (ELS):</t>
    </r>
  </si>
  <si>
    <r>
      <t xml:space="preserve">Parameter </t>
    </r>
    <r>
      <rPr>
        <i/>
        <sz val="12"/>
        <color theme="1"/>
        <rFont val="Times New Roman"/>
        <family val="1"/>
      </rPr>
      <t>AggUPB</t>
    </r>
    <r>
      <rPr>
        <i/>
        <vertAlign val="subscript"/>
        <sz val="12"/>
        <color theme="1"/>
        <rFont val="Times New Roman"/>
        <family val="1"/>
      </rPr>
      <t>$</t>
    </r>
    <r>
      <rPr>
        <sz val="12"/>
        <color theme="1"/>
        <rFont val="Times New Roman"/>
        <family val="1"/>
      </rPr>
      <t xml:space="preserve"> is the aggregate unpaid principal balance of the underlying mortgage exposures, where N is the total number of underlying mortgage exposures. </t>
    </r>
  </si>
  <si>
    <r>
      <t>The loss timing factor percentages (</t>
    </r>
    <r>
      <rPr>
        <i/>
        <sz val="12"/>
        <color theme="1"/>
        <rFont val="Times New Roman"/>
        <family val="1"/>
      </rPr>
      <t>LTF%s)</t>
    </r>
    <r>
      <rPr>
        <sz val="12"/>
        <color theme="1"/>
        <rFont val="Times New Roman"/>
        <family val="1"/>
      </rPr>
      <t xml:space="preserve"> are calculated as follows:</t>
    </r>
  </si>
  <si>
    <r>
      <t>K</t>
    </r>
    <r>
      <rPr>
        <vertAlign val="subscript"/>
        <sz val="12"/>
        <color theme="1"/>
        <rFont val="Times New Roman"/>
        <family val="1"/>
      </rPr>
      <t>A</t>
    </r>
    <r>
      <rPr>
        <sz val="12"/>
        <color theme="1"/>
        <rFont val="Times New Roman"/>
        <family val="1"/>
      </rPr>
      <t xml:space="preserve"> is the weighted-average capital requirement of the underlying exposures.  If the contractual terms of the CRT do not provide for the transfer of the counterparty credit risk associated with any loan-level credit enhancement or other loss sharing on the underlying mortgage exposures, then the Enterprise shall calculate </t>
    </r>
    <r>
      <rPr>
        <i/>
        <sz val="12"/>
        <color theme="1"/>
        <rFont val="Times New Roman"/>
        <family val="1"/>
      </rPr>
      <t>K</t>
    </r>
    <r>
      <rPr>
        <i/>
        <vertAlign val="subscript"/>
        <sz val="12"/>
        <color theme="1"/>
        <rFont val="Times New Roman"/>
        <family val="1"/>
      </rPr>
      <t>A</t>
    </r>
    <r>
      <rPr>
        <sz val="12"/>
        <color theme="1"/>
        <rFont val="Times New Roman"/>
        <family val="1"/>
      </rPr>
      <t xml:space="preserve"> as follows:
Otherwise the Enterprise shall calculate K</t>
    </r>
    <r>
      <rPr>
        <vertAlign val="subscript"/>
        <sz val="12"/>
        <color theme="1"/>
        <rFont val="Times New Roman"/>
        <family val="1"/>
      </rPr>
      <t>A</t>
    </r>
    <r>
      <rPr>
        <sz val="12"/>
        <color theme="1"/>
        <rFont val="Times New Roman"/>
        <family val="1"/>
      </rPr>
      <t xml:space="preserve"> as follows:</t>
    </r>
  </si>
  <si>
    <r>
      <t>Stress Loss Share.</t>
    </r>
    <r>
      <rPr>
        <sz val="12"/>
        <color theme="1"/>
        <rFont val="Times New Roman"/>
        <family val="1"/>
      </rPr>
      <t xml:space="preserve"> The stress loss share is the share of</t>
    </r>
    <r>
      <rPr>
        <sz val="12"/>
        <color rgb="FF000000"/>
        <rFont val="Times New Roman"/>
        <family val="1"/>
      </rPr>
      <t xml:space="preserve"> a tranche</t>
    </r>
    <r>
      <rPr>
        <sz val="12"/>
        <color theme="1"/>
        <rFont val="Times New Roman"/>
        <family val="1"/>
      </rPr>
      <t xml:space="preserve"> that is covered by stress loss (SLS) or K</t>
    </r>
    <r>
      <rPr>
        <vertAlign val="subscript"/>
        <sz val="12"/>
        <color theme="1"/>
        <rFont val="Times New Roman"/>
        <family val="1"/>
      </rPr>
      <t>A</t>
    </r>
    <r>
      <rPr>
        <sz val="12"/>
        <color theme="1"/>
        <rFont val="Times New Roman"/>
        <family val="1"/>
      </rPr>
      <t xml:space="preserve"> plus AggEL</t>
    </r>
    <r>
      <rPr>
        <vertAlign val="subscript"/>
        <sz val="12"/>
        <color theme="1"/>
        <rFont val="Times New Roman"/>
        <family val="1"/>
      </rPr>
      <t>%</t>
    </r>
    <r>
      <rPr>
        <sz val="12"/>
        <color theme="1"/>
        <rFont val="Times New Roman"/>
        <family val="1"/>
      </rPr>
      <t>:</t>
    </r>
  </si>
  <si>
    <r>
      <t xml:space="preserve">The </t>
    </r>
    <r>
      <rPr>
        <sz val="12"/>
        <color rgb="FF000000"/>
        <rFont val="Times New Roman"/>
        <family val="1"/>
      </rPr>
      <t xml:space="preserve">adjusted exposure </t>
    </r>
    <r>
      <rPr>
        <sz val="12"/>
        <color theme="1"/>
        <rFont val="Times New Roman"/>
        <family val="1"/>
      </rPr>
      <t>of an Enterprise (EAE) with respect to a retained CRT exposure is as follows:</t>
    </r>
  </si>
  <si>
    <t>The loss timing factor from Table 2 to Section 1240.44 for the capital markets portion of the CRT calculated using duration of seasoning from the capital markets transaction.</t>
  </si>
  <si>
    <t xml:space="preserve">UnCollatUL is the percentage of RIF that is uncollateralized unexpected loss. </t>
  </si>
  <si>
    <t xml:space="preserve">SRIF is the percentage of uncollateralized RIF that is above stress loss. </t>
  </si>
  <si>
    <t>The adjusted exposure amount (AEA) of a retained CRT exposure is equal to the following:</t>
  </si>
  <si>
    <r>
      <t>AggEL</t>
    </r>
    <r>
      <rPr>
        <vertAlign val="subscript"/>
        <sz val="12"/>
        <color theme="1"/>
        <rFont val="Times New Roman"/>
        <family val="1"/>
      </rPr>
      <t>%</t>
    </r>
    <r>
      <rPr>
        <sz val="12"/>
        <color theme="1"/>
        <rFont val="Times New Roman"/>
        <family val="1"/>
      </rPr>
      <t xml:space="preserve"> is the expected loss percentage of the underlying exposures and is calculated as follows:</t>
    </r>
  </si>
  <si>
    <r>
      <t xml:space="preserve">For each tranche, parameter </t>
    </r>
    <r>
      <rPr>
        <i/>
        <sz val="12"/>
        <rFont val="Times New Roman"/>
        <family val="1"/>
      </rPr>
      <t>Collat</t>
    </r>
    <r>
      <rPr>
        <i/>
        <vertAlign val="subscript"/>
        <sz val="12"/>
        <rFont val="Times New Roman"/>
        <family val="1"/>
      </rPr>
      <t>%RIF</t>
    </r>
    <r>
      <rPr>
        <i/>
        <sz val="12"/>
        <rFont val="Times New Roman"/>
        <family val="1"/>
      </rPr>
      <t xml:space="preserve"> </t>
    </r>
    <r>
      <rPr>
        <sz val="12"/>
        <rFont val="Times New Roman"/>
        <family val="1"/>
      </rPr>
      <t xml:space="preserve">is the amount of financial collateral posted by a counterparty under a loss sharing contract expressed as a percentage of the risk-in-force (RIF). For multifamily lender loss sharing transactions where an Enterprise has the contractual right to receive future lender guarantee-fee revenue, the Enterprise may include up to 12 months of expected guarantee-fee revenue in collateral. </t>
    </r>
    <r>
      <rPr>
        <i/>
        <sz val="12"/>
        <rFont val="Times New Roman"/>
        <family val="1"/>
      </rPr>
      <t>Collat</t>
    </r>
    <r>
      <rPr>
        <i/>
        <vertAlign val="subscript"/>
        <sz val="12"/>
        <rFont val="Times New Roman"/>
        <family val="1"/>
      </rPr>
      <t>%RIF</t>
    </r>
    <r>
      <rPr>
        <sz val="12"/>
        <rFont val="Times New Roman"/>
        <family val="1"/>
      </rPr>
      <t xml:space="preserve"> is expressed as a value between 0 and 100 percent.
For transactions that include a panel of insurers or reinsurers, for each tranche, use a weighted average collateral amount as a percent of risk-in-force for the tranche, where the weights are a function of quota shares or each insurer's RIF as a percentage of total RIF. </t>
    </r>
  </si>
  <si>
    <r>
      <t xml:space="preserve">For each tranche, parameter </t>
    </r>
    <r>
      <rPr>
        <i/>
        <sz val="12"/>
        <rFont val="Times New Roman"/>
        <family val="1"/>
      </rPr>
      <t>HC</t>
    </r>
    <r>
      <rPr>
        <sz val="12"/>
        <rFont val="Times New Roman"/>
        <family val="1"/>
      </rPr>
      <t xml:space="preserve"> is the haircut for the counterparty in contractual loss sharing transactions. 
For transactions that include a panel of insurers or reinsurers, for each tranche, use a weighted average haircut,  where the weights are a function of quota shares or each insurer's RIF as a percentage of total RIF. </t>
    </r>
  </si>
  <si>
    <t xml:space="preserve">The loss sharing effectiveness adjustment (LSEA) increases retained exposure to reflect uncollateralized risk-in-force (RIF).  For a retained CRT exposure, LSEA is calculated as follows: </t>
  </si>
  <si>
    <t xml:space="preserve">The loss timing effectiveness adjustments (LTEAs) increase retained exposure to reflect the mismatch between lifetime losses on the underlying mortgage exposures and the duration of the CRT’s coverage.  For a retained CRT exposure, LTEAs are calculated as follows: </t>
  </si>
  <si>
    <r>
      <t>K</t>
    </r>
    <r>
      <rPr>
        <vertAlign val="subscript"/>
        <sz val="12"/>
        <rFont val="Times New Roman"/>
        <family val="1"/>
      </rPr>
      <t>A</t>
    </r>
    <r>
      <rPr>
        <sz val="12"/>
        <rFont val="Times New Roman"/>
        <family val="1"/>
      </rPr>
      <t xml:space="preserve"> adjusted for loss timing (LTK</t>
    </r>
    <r>
      <rPr>
        <vertAlign val="subscript"/>
        <sz val="12"/>
        <rFont val="Times New Roman"/>
        <family val="1"/>
      </rPr>
      <t>A</t>
    </r>
    <r>
      <rPr>
        <sz val="12"/>
        <rFont val="Times New Roman"/>
        <family val="1"/>
      </rPr>
      <t>) for the capital markets transaction:</t>
    </r>
  </si>
  <si>
    <r>
      <t>K</t>
    </r>
    <r>
      <rPr>
        <vertAlign val="subscript"/>
        <sz val="12"/>
        <rFont val="Times New Roman"/>
        <family val="1"/>
      </rPr>
      <t>A</t>
    </r>
    <r>
      <rPr>
        <sz val="12"/>
        <rFont val="Times New Roman"/>
        <family val="1"/>
      </rPr>
      <t xml:space="preserve"> adjusted for loss timing (LTK</t>
    </r>
    <r>
      <rPr>
        <vertAlign val="subscript"/>
        <sz val="12"/>
        <rFont val="Times New Roman"/>
        <family val="1"/>
      </rPr>
      <t>A</t>
    </r>
    <r>
      <rPr>
        <sz val="12"/>
        <rFont val="Times New Roman"/>
        <family val="1"/>
      </rPr>
      <t>) for the loss sharing transaction:</t>
    </r>
  </si>
  <si>
    <r>
      <t>RWA supplement for retained loan-level counterparty credit risk</t>
    </r>
    <r>
      <rPr>
        <sz val="12"/>
        <rFont val="Times New Roman"/>
        <family val="1"/>
      </rPr>
      <t>. If the contractual terms of the CRT do not provide for the transfer of the counterparty credit risk associated with any loan-level credit enhancement or other loss sharing on the underlying mortgage exposures, then the Enterprise must add the following risk-weighted assets supplement (</t>
    </r>
    <r>
      <rPr>
        <i/>
        <sz val="12"/>
        <rFont val="Times New Roman"/>
        <family val="1"/>
      </rPr>
      <t>RWASup</t>
    </r>
    <r>
      <rPr>
        <vertAlign val="subscript"/>
        <sz val="12"/>
        <rFont val="Times New Roman"/>
        <family val="1"/>
      </rPr>
      <t>$</t>
    </r>
    <r>
      <rPr>
        <sz val="12"/>
        <rFont val="Times New Roman"/>
        <family val="1"/>
      </rPr>
      <t>) to risk weighted assets for the retained CRT exposure</t>
    </r>
    <r>
      <rPr>
        <i/>
        <sz val="12"/>
        <rFont val="Times New Roman"/>
        <family val="1"/>
      </rPr>
      <t xml:space="preserve">. </t>
    </r>
    <r>
      <rPr>
        <sz val="12"/>
        <rFont val="Times New Roman"/>
        <family val="1"/>
      </rPr>
      <t xml:space="preserve">Parameters A and D are the attachment and detachment parameters for each tranche. </t>
    </r>
  </si>
  <si>
    <r>
      <t>Credit risk-weighted assets for the retained CRT exposure</t>
    </r>
    <r>
      <rPr>
        <i/>
        <sz val="12"/>
        <rFont val="Times New Roman"/>
        <family val="1"/>
      </rPr>
      <t xml:space="preserve"> </t>
    </r>
    <r>
      <rPr>
        <sz val="12"/>
        <rFont val="Times New Roman"/>
        <family val="1"/>
      </rPr>
      <t>are as follows:</t>
    </r>
  </si>
  <si>
    <t xml:space="preserve">Loss Sharing: Collateral as a Percentage of RIF (Collat%RIF) and Haircut (HC%) </t>
  </si>
  <si>
    <t>Disclaimer:</t>
  </si>
  <si>
    <t>Generic CRT</t>
  </si>
  <si>
    <t>Generic SF STACR and ACIS</t>
  </si>
  <si>
    <t>Example calculations for stylized HQA and DNA STACR and ACIS transactions.</t>
  </si>
  <si>
    <t>Generic SF CAS and CIRT</t>
  </si>
  <si>
    <t>Example calculations for stylized CAS and CIRT transactions.</t>
  </si>
  <si>
    <t>Generic MF KDeal</t>
  </si>
  <si>
    <t>Example calculations for a stylized K-Deal.</t>
  </si>
  <si>
    <t>Generic MF DUS</t>
  </si>
  <si>
    <t>Worksheets</t>
  </si>
  <si>
    <t>Example calculations for a stylized DUS loss sharing agreement.</t>
  </si>
  <si>
    <r>
      <t xml:space="preserve">Parameter </t>
    </r>
    <r>
      <rPr>
        <i/>
        <sz val="12"/>
        <color theme="1"/>
        <rFont val="Times New Roman"/>
        <family val="1"/>
      </rPr>
      <t>RWA</t>
    </r>
    <r>
      <rPr>
        <i/>
        <vertAlign val="subscript"/>
        <sz val="12"/>
        <color theme="1"/>
        <rFont val="Times New Roman"/>
        <family val="1"/>
      </rPr>
      <t>$</t>
    </r>
    <r>
      <rPr>
        <sz val="12"/>
        <color theme="1"/>
        <rFont val="Times New Roman"/>
        <family val="1"/>
      </rPr>
      <t xml:space="preserve"> is the aggregate credit risk-weighted assets associated with the underlying mortgage exposures.
For a generic single-family exposure indexed by i,</t>
    </r>
  </si>
  <si>
    <r>
      <t xml:space="preserve">Parameter </t>
    </r>
    <r>
      <rPr>
        <i/>
        <sz val="12"/>
        <color theme="1"/>
        <rFont val="Times New Roman"/>
        <family val="1"/>
      </rPr>
      <t>CntptyRWA</t>
    </r>
    <r>
      <rPr>
        <i/>
        <vertAlign val="subscript"/>
        <sz val="12"/>
        <color theme="1"/>
        <rFont val="Times New Roman"/>
        <family val="1"/>
      </rPr>
      <t>$</t>
    </r>
    <r>
      <rPr>
        <sz val="12"/>
        <color theme="1"/>
        <rFont val="Times New Roman"/>
        <family val="1"/>
      </rPr>
      <t xml:space="preserve"> is the aggregate credit risk-weighted assets due to counterparty haircuts from loan-level credit enhancements.  </t>
    </r>
    <r>
      <rPr>
        <i/>
        <sz val="12"/>
        <color theme="1"/>
        <rFont val="Times New Roman"/>
        <family val="1"/>
      </rPr>
      <t>CntptyRWA</t>
    </r>
    <r>
      <rPr>
        <i/>
        <vertAlign val="subscript"/>
        <sz val="12"/>
        <color theme="1"/>
        <rFont val="Times New Roman"/>
        <family val="1"/>
      </rPr>
      <t>$</t>
    </r>
    <r>
      <rPr>
        <sz val="12"/>
        <color theme="1"/>
        <rFont val="Times New Roman"/>
        <family val="1"/>
      </rPr>
      <t xml:space="preserve"> is the difference between: (i) Parameter RWA</t>
    </r>
    <r>
      <rPr>
        <vertAlign val="subscript"/>
        <sz val="12"/>
        <color theme="1"/>
        <rFont val="Times New Roman"/>
        <family val="1"/>
      </rPr>
      <t>$</t>
    </r>
    <r>
      <rPr>
        <sz val="12"/>
        <color theme="1"/>
        <rFont val="Times New Roman"/>
        <family val="1"/>
      </rPr>
      <t>; and (ii) Aggregate credit risk-weighted assets associated with the underlying mortgage exposures where the counterparty haircuts for loan-level credit enhancements are set to zero. N is the total number of underlying mortgage exposures. For a generic single-family exposure indexed by i,</t>
    </r>
  </si>
  <si>
    <t>Inputs are in a blue background.</t>
  </si>
  <si>
    <t>Deal Inputs are in a blue background.</t>
  </si>
  <si>
    <t xml:space="preserve"> Generic CIRT Example</t>
  </si>
  <si>
    <t xml:space="preserve"> Generic HQA Example</t>
  </si>
  <si>
    <t>Generic DNA Example</t>
  </si>
  <si>
    <t>Release date:</t>
  </si>
  <si>
    <t>Enterprise Regulatory Capital Framework CRT Tool</t>
  </si>
  <si>
    <t>Dynamic Overall Effectiveness Adjustment (OEA)</t>
  </si>
  <si>
    <t xml:space="preserve">For single-family CRTs with reimbursement based upon occurrence or resolution of delinquency, CRTMthstoMaturity for the capital markets portion of the CRT is the difference between the CRT’s maturity date and original closing date, for exceptions see the final rule. </t>
  </si>
  <si>
    <t xml:space="preserve">For single-family CRTs with reimbursement based upon occurrence or resolution of delinquency, CRTMthstoMaturity for the loss sharing portion of the CRT is the difference between the CRT’s maturity date and original closing date, for exceptions see the final rule. </t>
  </si>
  <si>
    <t>2021 Proposal</t>
  </si>
  <si>
    <t xml:space="preserve">        Generic Single-Family CRT Example: 2021 Proposal vs. 2020 ERCF Final Rule</t>
  </si>
  <si>
    <t>2020 ERCF Final Rule</t>
  </si>
  <si>
    <t>Dynamic Overall Effectiveness Adjustment (OEA) from the 2020 ERCF Final Rule</t>
  </si>
  <si>
    <t>Minimum risk weight (MinRW)</t>
  </si>
  <si>
    <r>
      <t>% Change in RWA Relief</t>
    </r>
    <r>
      <rPr>
        <vertAlign val="subscript"/>
        <sz val="11"/>
        <color theme="1"/>
        <rFont val="Times New Roman"/>
        <family val="1"/>
      </rPr>
      <t>$</t>
    </r>
  </si>
  <si>
    <t>Percentage Change in Capital Relief</t>
  </si>
  <si>
    <t xml:space="preserve">The 2020 ERCF Final Rule's overall effectiveness adjustment (OEA) is an on-the-top adjustment to increase retained exposure.  The 2021 proposed rule does not include an overall effectiveness adjustment.  Thus, for the 2021 proposal, we set the OEA at 100% to neutralize the adjustment. In practice, the OEA would not be part of the calculation.  </t>
  </si>
  <si>
    <t>The information provided in the Enterprise Regulatory Capital Framework Credit Risk Transfer spreadsheet is for illustrative and explanatory purposes only and does not replace the final regulation published at 12 CFR 1240.   </t>
  </si>
  <si>
    <t xml:space="preserve">CRT treatment in the 2021 proposed rule compared with Final Enterprise Regulatory Capital Framework (ERCF) from 2020 with formulas and supporting text, using a stylized CRT. </t>
  </si>
  <si>
    <t>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</si>
</sst>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_(&quot;$&quot;* #,##0_);_(&quot;$&quot;* \(#,##0\);_(&quot;$&quot;* &quot;-&quot;??_);_(@_)"/>
    <numFmt numFmtId="165" formatCode="0.0%"/>
    <numFmt numFmtId="166" formatCode="_(&quot;$&quot;* #,##0.0_);_(&quot;$&quot;* \(#,##0.0\);_(&quot;$&quot;* &quot;-&quot;?_);_(@_)"/>
    <numFmt numFmtId="167" formatCode="0.000%"/>
    <numFmt numFmtId="168" formatCode="0.00000000000000%"/>
  </numFmts>
  <fonts count="47" x14ac:knownFonts="1">
    <font>
      <sz val="11"/>
      <color theme="1"/>
      <name val="Calibri"/>
      <family val="2"/>
      <scheme val="minor"/>
    </font>
    <font>
      <sz val="11"/>
      <color theme="1"/>
      <name val="Calibri"/>
      <family val="2"/>
      <scheme val="minor"/>
    </font>
    <font>
      <sz val="12"/>
      <color theme="1"/>
      <name val="Times New Roman"/>
      <family val="1"/>
    </font>
    <font>
      <i/>
      <sz val="12"/>
      <color theme="1"/>
      <name val="Times New Roman"/>
      <family val="1"/>
    </font>
    <font>
      <i/>
      <vertAlign val="subscript"/>
      <sz val="12"/>
      <color theme="1"/>
      <name val="Times New Roman"/>
      <family val="1"/>
    </font>
    <font>
      <vertAlign val="subscript"/>
      <sz val="12"/>
      <color theme="1"/>
      <name val="Times New Roman"/>
      <family val="1"/>
    </font>
    <font>
      <sz val="11"/>
      <color theme="1"/>
      <name val="Times New Roman"/>
      <family val="1"/>
    </font>
    <font>
      <b/>
      <sz val="16"/>
      <color theme="0"/>
      <name val="Times New Roman"/>
      <family val="1"/>
    </font>
    <font>
      <b/>
      <u val="singleAccounting"/>
      <sz val="16"/>
      <color theme="0"/>
      <name val="Times New Roman"/>
      <family val="1"/>
    </font>
    <font>
      <b/>
      <sz val="16"/>
      <color theme="1"/>
      <name val="Times New Roman"/>
      <family val="1"/>
    </font>
    <font>
      <b/>
      <u val="singleAccounting"/>
      <sz val="16"/>
      <name val="Times New Roman"/>
      <family val="1"/>
    </font>
    <font>
      <b/>
      <sz val="14"/>
      <color theme="1"/>
      <name val="Times New Roman"/>
      <family val="1"/>
    </font>
    <font>
      <b/>
      <sz val="11"/>
      <color theme="1"/>
      <name val="Times New Roman"/>
      <family val="1"/>
    </font>
    <font>
      <vertAlign val="subscript"/>
      <sz val="11"/>
      <color theme="1"/>
      <name val="Times New Roman"/>
      <family val="1"/>
    </font>
    <font>
      <u val="singleAccounting"/>
      <sz val="11"/>
      <color theme="1"/>
      <name val="Times New Roman"/>
      <family val="1"/>
    </font>
    <font>
      <b/>
      <vertAlign val="subscript"/>
      <sz val="14"/>
      <color theme="1"/>
      <name val="Times New Roman"/>
      <family val="1"/>
    </font>
    <font>
      <u val="singleAccounting"/>
      <vertAlign val="subscript"/>
      <sz val="11"/>
      <color theme="1"/>
      <name val="Times New Roman"/>
      <family val="1"/>
    </font>
    <font>
      <sz val="11"/>
      <color rgb="FFFF0000"/>
      <name val="Times New Roman"/>
      <family val="1"/>
    </font>
    <font>
      <sz val="12"/>
      <color rgb="FF000000"/>
      <name val="Times New Roman"/>
      <family val="1"/>
    </font>
    <font>
      <i/>
      <sz val="12"/>
      <color rgb="FF000000"/>
      <name val="Times New Roman"/>
      <family val="1"/>
    </font>
    <font>
      <sz val="12"/>
      <name val="Times New Roman"/>
      <family val="1"/>
    </font>
    <font>
      <i/>
      <sz val="12"/>
      <name val="Times New Roman"/>
      <family val="1"/>
    </font>
    <font>
      <i/>
      <vertAlign val="subscript"/>
      <sz val="12"/>
      <name val="Times New Roman"/>
      <family val="1"/>
    </font>
    <font>
      <sz val="11"/>
      <name val="Times New Roman"/>
      <family val="1"/>
    </font>
    <font>
      <vertAlign val="subscript"/>
      <sz val="12"/>
      <name val="Times New Roman"/>
      <family val="1"/>
    </font>
    <font>
      <b/>
      <sz val="14"/>
      <color theme="0"/>
      <name val="Times New Roman"/>
      <family val="1"/>
    </font>
    <font>
      <b/>
      <u val="singleAccounting"/>
      <sz val="14"/>
      <color theme="0"/>
      <name val="Times New Roman"/>
      <family val="1"/>
    </font>
    <font>
      <b/>
      <sz val="14"/>
      <color rgb="FF0070C0"/>
      <name val="Times New Roman"/>
      <family val="1"/>
    </font>
    <font>
      <b/>
      <sz val="16"/>
      <color rgb="FF0070C0"/>
      <name val="Times New Roman"/>
      <family val="1"/>
    </font>
    <font>
      <b/>
      <u val="singleAccounting"/>
      <sz val="16"/>
      <color rgb="FF0070C0"/>
      <name val="Times New Roman"/>
      <family val="1"/>
    </font>
    <font>
      <sz val="11"/>
      <color rgb="FF0070C0"/>
      <name val="Times New Roman"/>
      <family val="1"/>
    </font>
    <font>
      <b/>
      <sz val="12"/>
      <color theme="1"/>
      <name val="Times New Roman"/>
      <family val="1"/>
    </font>
    <font>
      <b/>
      <sz val="16"/>
      <name val="Times New Roman"/>
      <family val="1"/>
    </font>
    <font>
      <sz val="11"/>
      <color theme="0"/>
      <name val="Times New Roman"/>
      <family val="1"/>
    </font>
    <font>
      <sz val="16"/>
      <color theme="0"/>
      <name val="Times New Roman"/>
      <family val="1"/>
    </font>
    <font>
      <sz val="14"/>
      <color theme="0"/>
      <name val="Times New Roman"/>
      <family val="1"/>
    </font>
    <font>
      <b/>
      <sz val="14"/>
      <color rgb="FF000000"/>
      <name val="Times New Roman"/>
      <family val="1"/>
    </font>
    <font>
      <b/>
      <sz val="11"/>
      <name val="Times New Roman"/>
      <family val="1"/>
    </font>
    <font>
      <i/>
      <sz val="11"/>
      <name val="Times New Roman"/>
      <family val="1"/>
    </font>
    <font>
      <b/>
      <sz val="18"/>
      <name val="Times New Roman"/>
      <family val="1"/>
    </font>
    <font>
      <b/>
      <sz val="26"/>
      <name val="Times New Roman"/>
      <family val="1"/>
    </font>
    <font>
      <b/>
      <sz val="14"/>
      <color theme="4" tint="-0.249977111117893"/>
      <name val="Times New Roman"/>
      <family val="1"/>
    </font>
    <font>
      <b/>
      <sz val="20"/>
      <color theme="4" tint="-0.249977111117893"/>
      <name val="Times New Roman"/>
      <family val="1"/>
    </font>
    <font>
      <b/>
      <u val="singleAccounting"/>
      <sz val="12"/>
      <name val="Times New Roman"/>
      <family val="1"/>
    </font>
    <font>
      <b/>
      <u/>
      <sz val="12"/>
      <name val="Times New Roman"/>
      <family val="1"/>
    </font>
    <font>
      <b/>
      <sz val="18"/>
      <color theme="1"/>
      <name val="Times New Roman"/>
      <family val="1"/>
    </font>
    <font>
      <b/>
      <u val="singleAccounting"/>
      <sz val="16"/>
      <color theme="1"/>
      <name val="Times New Roman"/>
      <family val="1"/>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6">
    <border>
      <left/>
      <right/>
      <top/>
      <bottom/>
      <diagonal/>
    </border>
    <border>
      <left/>
      <right/>
      <top/>
      <bottom style="thin">
        <color indexed="64"/>
      </bottom>
      <diagonal/>
    </border>
    <border>
      <left/>
      <right/>
      <top style="hair">
        <color auto="1"/>
      </top>
      <bottom style="hair">
        <color auto="1"/>
      </bottom>
      <diagonal/>
    </border>
    <border>
      <left/>
      <right/>
      <top/>
      <bottom style="hair">
        <color auto="1"/>
      </bottom>
      <diagonal/>
    </border>
    <border>
      <left/>
      <right/>
      <top style="thin">
        <color indexed="64"/>
      </top>
      <bottom style="hair">
        <color indexed="64"/>
      </bottom>
      <diagonal/>
    </border>
    <border>
      <left/>
      <right/>
      <top style="hair">
        <color auto="1"/>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83">
    <xf numFmtId="0" fontId="0" fillId="0" borderId="0" xfId="0"/>
    <xf numFmtId="0" fontId="0" fillId="0" borderId="2" xfId="0" applyBorder="1"/>
    <xf numFmtId="0" fontId="2" fillId="0" borderId="0" xfId="0" applyFont="1" applyAlignment="1">
      <alignment vertical="top" wrapText="1"/>
    </xf>
    <xf numFmtId="0" fontId="2" fillId="0" borderId="2" xfId="0" applyFont="1" applyBorder="1" applyAlignment="1">
      <alignment horizontal="left" vertical="top" wrapText="1"/>
    </xf>
    <xf numFmtId="0" fontId="6" fillId="0" borderId="0" xfId="0" applyFont="1"/>
    <xf numFmtId="9" fontId="6" fillId="0" borderId="0" xfId="2" applyFont="1"/>
    <xf numFmtId="0" fontId="9" fillId="0" borderId="0" xfId="0" applyFont="1"/>
    <xf numFmtId="0" fontId="10" fillId="0" borderId="0" xfId="0" applyFont="1" applyAlignment="1">
      <alignment horizontal="center" wrapText="1"/>
    </xf>
    <xf numFmtId="0" fontId="11" fillId="0" borderId="1" xfId="0" applyFont="1" applyBorder="1"/>
    <xf numFmtId="0" fontId="12" fillId="0" borderId="1" xfId="0" applyFont="1" applyBorder="1"/>
    <xf numFmtId="0" fontId="6" fillId="0" borderId="0" xfId="0" applyFont="1" applyAlignment="1">
      <alignment vertical="top"/>
    </xf>
    <xf numFmtId="0" fontId="6" fillId="0" borderId="3" xfId="0" applyFont="1" applyBorder="1"/>
    <xf numFmtId="0" fontId="6" fillId="0" borderId="2" xfId="0" applyFont="1" applyBorder="1" applyAlignment="1">
      <alignment vertical="top"/>
    </xf>
    <xf numFmtId="0" fontId="6" fillId="0" borderId="2" xfId="0" applyFont="1" applyBorder="1"/>
    <xf numFmtId="0" fontId="11" fillId="0" borderId="0" xfId="0" applyFont="1" applyBorder="1"/>
    <xf numFmtId="0" fontId="12" fillId="0" borderId="0" xfId="0" applyFont="1" applyBorder="1"/>
    <xf numFmtId="0" fontId="14" fillId="0" borderId="0" xfId="0" applyFont="1" applyAlignment="1">
      <alignment horizontal="center" vertical="center"/>
    </xf>
    <xf numFmtId="0" fontId="12" fillId="0" borderId="0" xfId="0" applyFont="1"/>
    <xf numFmtId="0" fontId="6" fillId="0" borderId="0" xfId="0" applyFont="1" applyBorder="1"/>
    <xf numFmtId="10" fontId="6" fillId="0" borderId="0" xfId="0" applyNumberFormat="1" applyFont="1" applyBorder="1"/>
    <xf numFmtId="6" fontId="6" fillId="0" borderId="0" xfId="0" applyNumberFormat="1" applyFont="1"/>
    <xf numFmtId="0" fontId="11" fillId="0" borderId="0" xfId="0" applyFont="1"/>
    <xf numFmtId="10" fontId="6" fillId="0" borderId="0" xfId="0" applyNumberFormat="1" applyFont="1"/>
    <xf numFmtId="165" fontId="6" fillId="0" borderId="0" xfId="0" applyNumberFormat="1" applyFont="1"/>
    <xf numFmtId="0" fontId="6" fillId="0" borderId="0" xfId="0" applyFont="1" applyAlignment="1">
      <alignment wrapText="1"/>
    </xf>
    <xf numFmtId="0" fontId="6" fillId="0" borderId="2" xfId="0" applyFont="1" applyBorder="1" applyAlignment="1">
      <alignment wrapText="1"/>
    </xf>
    <xf numFmtId="10" fontId="6" fillId="0" borderId="2" xfId="0" applyNumberFormat="1" applyFont="1" applyBorder="1"/>
    <xf numFmtId="9" fontId="6" fillId="0" borderId="2" xfId="0" applyNumberFormat="1" applyFont="1" applyBorder="1"/>
    <xf numFmtId="0" fontId="6" fillId="0" borderId="1" xfId="0" applyFont="1" applyBorder="1" applyAlignment="1">
      <alignment horizontal="center"/>
    </xf>
    <xf numFmtId="0" fontId="14" fillId="0" borderId="0" xfId="0" applyFont="1" applyAlignment="1">
      <alignment horizontal="center" wrapText="1"/>
    </xf>
    <xf numFmtId="9" fontId="6" fillId="0" borderId="3" xfId="2" applyFont="1" applyBorder="1"/>
    <xf numFmtId="0" fontId="14" fillId="0" borderId="0" xfId="0" applyFont="1" applyAlignment="1">
      <alignment horizontal="center"/>
    </xf>
    <xf numFmtId="9" fontId="6" fillId="0" borderId="2" xfId="2" applyFont="1" applyBorder="1"/>
    <xf numFmtId="9" fontId="6" fillId="0" borderId="3" xfId="0" applyNumberFormat="1" applyFont="1" applyBorder="1"/>
    <xf numFmtId="165" fontId="6" fillId="0" borderId="2" xfId="0" applyNumberFormat="1" applyFont="1" applyBorder="1"/>
    <xf numFmtId="10" fontId="6" fillId="0" borderId="0" xfId="2" applyNumberFormat="1" applyFont="1"/>
    <xf numFmtId="10" fontId="6" fillId="0" borderId="2" xfId="2" applyNumberFormat="1" applyFont="1" applyBorder="1"/>
    <xf numFmtId="165" fontId="6" fillId="0" borderId="3" xfId="0" applyNumberFormat="1" applyFont="1" applyBorder="1"/>
    <xf numFmtId="164" fontId="6" fillId="0" borderId="3" xfId="1" applyNumberFormat="1" applyFont="1" applyBorder="1"/>
    <xf numFmtId="164" fontId="6" fillId="0" borderId="0" xfId="1" applyNumberFormat="1" applyFont="1"/>
    <xf numFmtId="0" fontId="6" fillId="0" borderId="0" xfId="0" applyFont="1" applyAlignment="1">
      <alignment horizontal="center"/>
    </xf>
    <xf numFmtId="0" fontId="17" fillId="0" borderId="0" xfId="0" applyFont="1"/>
    <xf numFmtId="165" fontId="17" fillId="0" borderId="0" xfId="0" applyNumberFormat="1" applyFont="1"/>
    <xf numFmtId="166" fontId="6" fillId="0" borderId="0" xfId="0" applyNumberFormat="1" applyFont="1"/>
    <xf numFmtId="165" fontId="6" fillId="0" borderId="0" xfId="2" applyNumberFormat="1" applyFont="1"/>
    <xf numFmtId="9" fontId="6" fillId="0" borderId="3" xfId="2" applyNumberFormat="1" applyFont="1" applyBorder="1"/>
    <xf numFmtId="165" fontId="6" fillId="0" borderId="3" xfId="2" applyNumberFormat="1" applyFont="1" applyBorder="1"/>
    <xf numFmtId="9" fontId="6" fillId="0" borderId="0" xfId="0" applyNumberFormat="1" applyFont="1"/>
    <xf numFmtId="0" fontId="2" fillId="0" borderId="2" xfId="0" applyFont="1" applyBorder="1" applyAlignment="1">
      <alignment vertical="top" wrapText="1"/>
    </xf>
    <xf numFmtId="0" fontId="6" fillId="0" borderId="0" xfId="0" applyFont="1" applyBorder="1" applyAlignment="1">
      <alignment vertical="top"/>
    </xf>
    <xf numFmtId="10" fontId="6" fillId="0" borderId="0" xfId="0" applyNumberFormat="1" applyFont="1" applyBorder="1" applyAlignment="1">
      <alignment vertical="top"/>
    </xf>
    <xf numFmtId="0" fontId="14" fillId="0" borderId="0" xfId="0" applyFont="1" applyAlignment="1">
      <alignment horizontal="center" vertical="top"/>
    </xf>
    <xf numFmtId="0" fontId="2" fillId="0" borderId="0" xfId="0" applyFont="1"/>
    <xf numFmtId="0" fontId="6" fillId="0" borderId="0" xfId="0" applyFont="1" applyAlignment="1">
      <alignment vertical="top" wrapText="1"/>
    </xf>
    <xf numFmtId="10" fontId="6" fillId="0" borderId="0" xfId="0" applyNumberFormat="1" applyFont="1" applyAlignment="1">
      <alignment vertical="top"/>
    </xf>
    <xf numFmtId="0" fontId="6" fillId="0" borderId="2" xfId="0" applyFont="1" applyBorder="1" applyAlignment="1">
      <alignment vertical="top" wrapText="1"/>
    </xf>
    <xf numFmtId="10" fontId="6" fillId="0" borderId="2" xfId="0" applyNumberFormat="1" applyFont="1" applyBorder="1" applyAlignment="1">
      <alignment vertical="top"/>
    </xf>
    <xf numFmtId="9" fontId="6" fillId="0" borderId="2" xfId="0" applyNumberFormat="1" applyFont="1" applyBorder="1" applyAlignment="1">
      <alignment vertical="top"/>
    </xf>
    <xf numFmtId="9" fontId="6" fillId="0" borderId="3" xfId="2" applyFont="1" applyBorder="1" applyAlignment="1">
      <alignment vertical="top"/>
    </xf>
    <xf numFmtId="9" fontId="6" fillId="0" borderId="2" xfId="2" applyFont="1" applyBorder="1" applyAlignment="1">
      <alignment vertical="top"/>
    </xf>
    <xf numFmtId="9" fontId="6" fillId="0" borderId="3" xfId="0" applyNumberFormat="1" applyFont="1" applyBorder="1" applyAlignment="1">
      <alignment vertical="top"/>
    </xf>
    <xf numFmtId="165" fontId="6" fillId="0" borderId="2" xfId="0" applyNumberFormat="1" applyFont="1" applyBorder="1" applyAlignment="1">
      <alignment vertical="top"/>
    </xf>
    <xf numFmtId="10" fontId="6" fillId="0" borderId="0" xfId="2" applyNumberFormat="1" applyFont="1" applyAlignment="1">
      <alignment vertical="top"/>
    </xf>
    <xf numFmtId="10" fontId="6" fillId="0" borderId="2" xfId="2" applyNumberFormat="1" applyFont="1" applyBorder="1" applyAlignment="1">
      <alignment vertical="top"/>
    </xf>
    <xf numFmtId="0" fontId="6" fillId="0" borderId="4" xfId="0" applyFont="1" applyBorder="1" applyAlignment="1">
      <alignment vertical="top"/>
    </xf>
    <xf numFmtId="165" fontId="6" fillId="0" borderId="3" xfId="0" applyNumberFormat="1" applyFont="1" applyBorder="1" applyAlignment="1">
      <alignment vertical="top"/>
    </xf>
    <xf numFmtId="0" fontId="2" fillId="0" borderId="0" xfId="0" applyFont="1" applyAlignment="1">
      <alignment vertical="top"/>
    </xf>
    <xf numFmtId="164" fontId="6" fillId="0" borderId="3" xfId="1" applyNumberFormat="1" applyFont="1" applyBorder="1" applyAlignment="1">
      <alignment vertical="top"/>
    </xf>
    <xf numFmtId="0" fontId="6" fillId="0" borderId="5" xfId="0" applyFont="1" applyBorder="1"/>
    <xf numFmtId="0" fontId="3" fillId="0" borderId="5" xfId="0" applyFont="1" applyBorder="1" applyAlignment="1">
      <alignment wrapText="1"/>
    </xf>
    <xf numFmtId="0" fontId="3" fillId="0" borderId="0" xfId="0" applyFont="1" applyBorder="1" applyAlignment="1">
      <alignment wrapText="1"/>
    </xf>
    <xf numFmtId="0" fontId="2" fillId="0" borderId="0" xfId="0" applyFont="1" applyBorder="1"/>
    <xf numFmtId="0" fontId="2" fillId="0" borderId="3" xfId="0" applyFont="1" applyBorder="1"/>
    <xf numFmtId="0" fontId="3" fillId="0" borderId="3" xfId="0" applyFont="1" applyBorder="1" applyAlignment="1">
      <alignment wrapText="1"/>
    </xf>
    <xf numFmtId="0" fontId="6" fillId="0" borderId="5" xfId="0" applyFont="1" applyBorder="1" applyAlignment="1">
      <alignment vertical="top"/>
    </xf>
    <xf numFmtId="9" fontId="6" fillId="0" borderId="0" xfId="2" applyFont="1" applyBorder="1" applyAlignment="1">
      <alignment vertical="top"/>
    </xf>
    <xf numFmtId="166" fontId="6" fillId="0" borderId="2" xfId="0" applyNumberFormat="1" applyFont="1" applyBorder="1" applyAlignment="1">
      <alignment vertical="top"/>
    </xf>
    <xf numFmtId="0" fontId="6" fillId="0" borderId="3" xfId="0" applyFont="1" applyBorder="1" applyAlignment="1">
      <alignment horizontal="center"/>
    </xf>
    <xf numFmtId="9" fontId="12" fillId="0" borderId="0" xfId="0" applyNumberFormat="1" applyFont="1"/>
    <xf numFmtId="9" fontId="14" fillId="0" borderId="0" xfId="0" applyNumberFormat="1" applyFont="1" applyAlignment="1">
      <alignment horizontal="center" vertical="center"/>
    </xf>
    <xf numFmtId="0" fontId="2" fillId="0" borderId="2" xfId="0" applyFont="1" applyBorder="1" applyAlignment="1">
      <alignment vertical="top"/>
    </xf>
    <xf numFmtId="0" fontId="2" fillId="0" borderId="5" xfId="0" applyFont="1" applyBorder="1"/>
    <xf numFmtId="0" fontId="2" fillId="0" borderId="2" xfId="0" applyFont="1" applyBorder="1"/>
    <xf numFmtId="0" fontId="23" fillId="0" borderId="0" xfId="0" applyFont="1"/>
    <xf numFmtId="0" fontId="23" fillId="0" borderId="1" xfId="0" applyFont="1" applyBorder="1" applyAlignment="1">
      <alignment horizontal="center"/>
    </xf>
    <xf numFmtId="0" fontId="20" fillId="0" borderId="2" xfId="0" applyFont="1" applyBorder="1" applyAlignment="1">
      <alignment vertical="top" wrapText="1"/>
    </xf>
    <xf numFmtId="0" fontId="20" fillId="0" borderId="0" xfId="0" applyFont="1" applyBorder="1" applyAlignment="1">
      <alignment vertical="top" wrapText="1"/>
    </xf>
    <xf numFmtId="0" fontId="20" fillId="0" borderId="0" xfId="0" applyFont="1" applyBorder="1"/>
    <xf numFmtId="0" fontId="23" fillId="0" borderId="0" xfId="0" applyFont="1" applyBorder="1"/>
    <xf numFmtId="0" fontId="23" fillId="0" borderId="3" xfId="0" applyFont="1" applyBorder="1"/>
    <xf numFmtId="0" fontId="20" fillId="0" borderId="0" xfId="0" applyFont="1" applyAlignment="1">
      <alignment wrapText="1"/>
    </xf>
    <xf numFmtId="0" fontId="20" fillId="0" borderId="0" xfId="0" applyFont="1" applyAlignment="1">
      <alignment vertical="top"/>
    </xf>
    <xf numFmtId="0" fontId="21" fillId="0" borderId="5" xfId="0" applyFont="1" applyBorder="1" applyAlignment="1">
      <alignment wrapText="1"/>
    </xf>
    <xf numFmtId="0" fontId="21" fillId="0" borderId="0" xfId="0" applyFont="1" applyBorder="1" applyAlignment="1">
      <alignment wrapText="1"/>
    </xf>
    <xf numFmtId="0" fontId="23" fillId="0" borderId="5" xfId="0" applyFont="1" applyBorder="1"/>
    <xf numFmtId="0" fontId="27" fillId="0" borderId="0" xfId="0" applyFont="1" applyFill="1"/>
    <xf numFmtId="0" fontId="28" fillId="0" borderId="0" xfId="0" applyFont="1" applyFill="1"/>
    <xf numFmtId="0" fontId="29" fillId="0" borderId="0" xfId="0" applyFont="1" applyFill="1" applyAlignment="1">
      <alignment horizontal="center" wrapText="1"/>
    </xf>
    <xf numFmtId="0" fontId="30" fillId="0" borderId="0" xfId="0" applyFont="1" applyFill="1"/>
    <xf numFmtId="0" fontId="31" fillId="0" borderId="1" xfId="0" applyFont="1" applyBorder="1"/>
    <xf numFmtId="0" fontId="32" fillId="0" borderId="0" xfId="0" applyFont="1" applyAlignment="1">
      <alignment horizontal="center" wrapText="1"/>
    </xf>
    <xf numFmtId="164" fontId="6" fillId="2" borderId="0" xfId="1" applyNumberFormat="1" applyFont="1" applyFill="1"/>
    <xf numFmtId="164" fontId="6" fillId="2" borderId="2" xfId="1" applyNumberFormat="1" applyFont="1" applyFill="1" applyBorder="1"/>
    <xf numFmtId="164" fontId="6" fillId="2" borderId="2" xfId="1" applyNumberFormat="1" applyFont="1" applyFill="1" applyBorder="1" applyAlignment="1">
      <alignment horizontal="right"/>
    </xf>
    <xf numFmtId="10" fontId="6" fillId="2" borderId="0" xfId="0" applyNumberFormat="1" applyFont="1" applyFill="1"/>
    <xf numFmtId="10" fontId="6" fillId="2" borderId="2" xfId="0" applyNumberFormat="1" applyFont="1" applyFill="1" applyBorder="1"/>
    <xf numFmtId="1" fontId="6" fillId="2" borderId="2" xfId="2" applyNumberFormat="1" applyFont="1" applyFill="1" applyBorder="1"/>
    <xf numFmtId="0" fontId="32" fillId="0" borderId="0" xfId="0" applyFont="1" applyAlignment="1">
      <alignment horizontal="left"/>
    </xf>
    <xf numFmtId="0" fontId="7" fillId="0" borderId="0" xfId="0" applyFont="1" applyFill="1"/>
    <xf numFmtId="0" fontId="8" fillId="0" borderId="0" xfId="0" applyFont="1" applyFill="1" applyAlignment="1">
      <alignment horizontal="center" wrapText="1"/>
    </xf>
    <xf numFmtId="0" fontId="33" fillId="0" borderId="0" xfId="0" applyFont="1" applyFill="1"/>
    <xf numFmtId="9" fontId="6" fillId="2" borderId="0" xfId="0" applyNumberFormat="1" applyFont="1" applyFill="1"/>
    <xf numFmtId="0" fontId="32" fillId="0" borderId="0" xfId="0" applyFont="1" applyFill="1"/>
    <xf numFmtId="0" fontId="10" fillId="0" borderId="0" xfId="0" applyFont="1" applyFill="1" applyAlignment="1">
      <alignment horizontal="center" wrapText="1"/>
    </xf>
    <xf numFmtId="0" fontId="23" fillId="0" borderId="0" xfId="0" applyFont="1" applyFill="1"/>
    <xf numFmtId="0" fontId="2" fillId="0" borderId="1" xfId="0" applyFont="1" applyBorder="1" applyAlignment="1">
      <alignment horizontal="center"/>
    </xf>
    <xf numFmtId="165" fontId="6" fillId="2" borderId="2" xfId="2" applyNumberFormat="1" applyFont="1" applyFill="1" applyBorder="1"/>
    <xf numFmtId="0" fontId="6" fillId="0" borderId="0" xfId="0" applyFont="1" applyFill="1"/>
    <xf numFmtId="0" fontId="7" fillId="3" borderId="0" xfId="0" applyFont="1" applyFill="1"/>
    <xf numFmtId="0" fontId="8" fillId="3" borderId="0" xfId="0" applyFont="1" applyFill="1" applyAlignment="1">
      <alignment horizontal="center" wrapText="1"/>
    </xf>
    <xf numFmtId="0" fontId="6" fillId="3" borderId="0" xfId="0" applyFont="1" applyFill="1"/>
    <xf numFmtId="164" fontId="6" fillId="2" borderId="0" xfId="1" applyNumberFormat="1" applyFont="1" applyFill="1" applyAlignment="1">
      <alignment vertical="top"/>
    </xf>
    <xf numFmtId="164" fontId="6" fillId="2" borderId="2" xfId="1" applyNumberFormat="1" applyFont="1" applyFill="1" applyBorder="1" applyAlignment="1">
      <alignment vertical="top"/>
    </xf>
    <xf numFmtId="164" fontId="6" fillId="2" borderId="2" xfId="1" applyNumberFormat="1" applyFont="1" applyFill="1" applyBorder="1" applyAlignment="1">
      <alignment horizontal="right" vertical="top"/>
    </xf>
    <xf numFmtId="0" fontId="12" fillId="2" borderId="0" xfId="0" applyFont="1" applyFill="1" applyBorder="1"/>
    <xf numFmtId="0" fontId="14" fillId="2" borderId="0" xfId="0" applyFont="1" applyFill="1" applyAlignment="1">
      <alignment horizontal="center" vertical="center"/>
    </xf>
    <xf numFmtId="10" fontId="6" fillId="2" borderId="0" xfId="0" applyNumberFormat="1" applyFont="1" applyFill="1" applyAlignment="1">
      <alignment vertical="top"/>
    </xf>
    <xf numFmtId="10" fontId="6" fillId="2" borderId="2" xfId="0" applyNumberFormat="1" applyFont="1" applyFill="1" applyBorder="1" applyAlignment="1">
      <alignment vertical="top"/>
    </xf>
    <xf numFmtId="165" fontId="6" fillId="2" borderId="2" xfId="2" applyNumberFormat="1" applyFont="1" applyFill="1" applyBorder="1" applyAlignment="1">
      <alignment vertical="top"/>
    </xf>
    <xf numFmtId="0" fontId="36" fillId="0" borderId="0" xfId="0" applyFont="1"/>
    <xf numFmtId="0" fontId="23" fillId="3" borderId="0" xfId="0" applyFont="1" applyFill="1"/>
    <xf numFmtId="0" fontId="38" fillId="3" borderId="0" xfId="0" applyFont="1" applyFill="1"/>
    <xf numFmtId="0" fontId="23" fillId="3" borderId="0" xfId="0" applyFont="1" applyFill="1" applyAlignment="1">
      <alignment vertical="top"/>
    </xf>
    <xf numFmtId="0" fontId="23" fillId="3" borderId="0" xfId="0" applyFont="1" applyFill="1" applyAlignment="1">
      <alignment vertical="top" wrapText="1"/>
    </xf>
    <xf numFmtId="0" fontId="23" fillId="3" borderId="2" xfId="0" applyFont="1" applyFill="1" applyBorder="1" applyAlignment="1">
      <alignment horizontal="left" vertical="top"/>
    </xf>
    <xf numFmtId="0" fontId="23" fillId="3" borderId="2" xfId="0" applyFont="1" applyFill="1" applyBorder="1" applyAlignment="1">
      <alignment horizontal="left" vertical="top" wrapText="1"/>
    </xf>
    <xf numFmtId="0" fontId="37" fillId="3" borderId="0" xfId="0" applyFont="1" applyFill="1" applyAlignment="1">
      <alignment vertical="top"/>
    </xf>
    <xf numFmtId="0" fontId="6" fillId="0" borderId="3" xfId="0" applyFont="1" applyBorder="1" applyAlignment="1">
      <alignment vertical="top"/>
    </xf>
    <xf numFmtId="164" fontId="6" fillId="0" borderId="0" xfId="1" applyNumberFormat="1" applyFont="1" applyFill="1"/>
    <xf numFmtId="0" fontId="35" fillId="0" borderId="0" xfId="0" applyFont="1" applyFill="1"/>
    <xf numFmtId="0" fontId="34" fillId="0" borderId="0" xfId="0" applyFont="1" applyFill="1"/>
    <xf numFmtId="0" fontId="6" fillId="0" borderId="1" xfId="0" applyFont="1" applyFill="1" applyBorder="1" applyAlignment="1">
      <alignment horizontal="center"/>
    </xf>
    <xf numFmtId="0" fontId="23" fillId="3" borderId="0" xfId="0" applyFont="1" applyFill="1" applyBorder="1" applyAlignment="1">
      <alignment horizontal="left" vertical="top"/>
    </xf>
    <xf numFmtId="0" fontId="23" fillId="3" borderId="0" xfId="0" applyFont="1" applyFill="1" applyBorder="1" applyAlignment="1">
      <alignment horizontal="left" vertical="top" wrapText="1"/>
    </xf>
    <xf numFmtId="0" fontId="25" fillId="0" borderId="0" xfId="0" applyFont="1" applyFill="1"/>
    <xf numFmtId="0" fontId="26" fillId="0" borderId="0" xfId="0" applyFont="1" applyFill="1" applyAlignment="1">
      <alignment horizontal="center" wrapText="1"/>
    </xf>
    <xf numFmtId="0" fontId="7" fillId="4" borderId="0" xfId="0" applyFont="1" applyFill="1"/>
    <xf numFmtId="0" fontId="8" fillId="4" borderId="0" xfId="0" applyFont="1" applyFill="1" applyAlignment="1">
      <alignment horizontal="center" wrapText="1"/>
    </xf>
    <xf numFmtId="0" fontId="42" fillId="0" borderId="0" xfId="0" applyFont="1" applyFill="1" applyAlignment="1">
      <alignment horizontal="center"/>
    </xf>
    <xf numFmtId="0" fontId="43" fillId="0" borderId="0" xfId="0" applyFont="1" applyAlignment="1">
      <alignment horizontal="center" wrapText="1"/>
    </xf>
    <xf numFmtId="0" fontId="9" fillId="0" borderId="0" xfId="0" applyFont="1" applyAlignment="1">
      <alignment vertical="center"/>
    </xf>
    <xf numFmtId="0" fontId="44" fillId="0" borderId="0" xfId="0" applyFont="1" applyAlignment="1">
      <alignment horizontal="center" wrapText="1"/>
    </xf>
    <xf numFmtId="14" fontId="23" fillId="3" borderId="0" xfId="0" applyNumberFormat="1" applyFont="1" applyFill="1" applyAlignment="1">
      <alignment horizontal="left" wrapText="1"/>
    </xf>
    <xf numFmtId="164" fontId="6" fillId="0" borderId="3" xfId="1" applyNumberFormat="1" applyFont="1" applyFill="1" applyBorder="1" applyAlignment="1">
      <alignment vertical="top"/>
    </xf>
    <xf numFmtId="0" fontId="21" fillId="0" borderId="0" xfId="0" applyFont="1" applyFill="1" applyAlignment="1">
      <alignment vertical="top" wrapText="1"/>
    </xf>
    <xf numFmtId="0" fontId="20" fillId="0" borderId="3" xfId="0" applyFont="1" applyBorder="1" applyAlignment="1">
      <alignment horizontal="left" vertical="top" wrapText="1"/>
    </xf>
    <xf numFmtId="0" fontId="46" fillId="0" borderId="0" xfId="0" applyFont="1" applyFill="1" applyAlignment="1">
      <alignment horizontal="center" wrapText="1"/>
    </xf>
    <xf numFmtId="9" fontId="6" fillId="0" borderId="3" xfId="2" applyNumberFormat="1" applyFont="1" applyBorder="1" applyAlignment="1">
      <alignment vertical="top"/>
    </xf>
    <xf numFmtId="168" fontId="6" fillId="0" borderId="0" xfId="0" applyNumberFormat="1" applyFont="1"/>
    <xf numFmtId="167" fontId="6" fillId="0" borderId="0" xfId="2" applyNumberFormat="1" applyFont="1"/>
    <xf numFmtId="0" fontId="46" fillId="0" borderId="0" xfId="0" applyFont="1" applyFill="1" applyAlignment="1">
      <alignment wrapText="1"/>
    </xf>
    <xf numFmtId="0" fontId="2" fillId="0" borderId="1" xfId="0" applyFont="1" applyBorder="1"/>
    <xf numFmtId="0" fontId="6" fillId="0" borderId="1" xfId="0" applyFont="1" applyBorder="1"/>
    <xf numFmtId="10" fontId="6" fillId="0" borderId="3" xfId="2" applyNumberFormat="1" applyFont="1" applyBorder="1" applyAlignment="1">
      <alignment vertical="top"/>
    </xf>
    <xf numFmtId="164" fontId="6" fillId="0" borderId="0" xfId="0" applyNumberFormat="1" applyFont="1"/>
    <xf numFmtId="0" fontId="39" fillId="3" borderId="0" xfId="0" applyFont="1" applyFill="1" applyAlignment="1">
      <alignment horizontal="center" vertical="center"/>
    </xf>
    <xf numFmtId="0" fontId="40" fillId="0" borderId="0" xfId="0" applyFont="1" applyAlignment="1">
      <alignment horizontal="left" vertical="center"/>
    </xf>
    <xf numFmtId="0" fontId="20" fillId="0" borderId="5" xfId="0" applyFont="1" applyBorder="1" applyAlignment="1">
      <alignment horizontal="left" vertical="top" wrapText="1"/>
    </xf>
    <xf numFmtId="0" fontId="20" fillId="0" borderId="0" xfId="0" applyFont="1" applyBorder="1" applyAlignment="1">
      <alignment horizontal="left" vertical="top" wrapText="1"/>
    </xf>
    <xf numFmtId="0" fontId="20" fillId="0" borderId="3" xfId="0" applyFont="1" applyBorder="1" applyAlignment="1">
      <alignment horizontal="left" vertical="top" wrapText="1"/>
    </xf>
    <xf numFmtId="0" fontId="18" fillId="0" borderId="5" xfId="0" applyFont="1" applyBorder="1" applyAlignment="1">
      <alignment horizontal="left" vertical="top" wrapText="1"/>
    </xf>
    <xf numFmtId="0" fontId="18" fillId="0" borderId="0" xfId="0" applyFont="1" applyBorder="1" applyAlignment="1">
      <alignment horizontal="left" vertical="top" wrapText="1"/>
    </xf>
    <xf numFmtId="0" fontId="18"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3" xfId="0" applyFont="1" applyBorder="1" applyAlignment="1">
      <alignment horizontal="left" vertical="top" wrapText="1"/>
    </xf>
    <xf numFmtId="0" fontId="11" fillId="0" borderId="1" xfId="0" applyFont="1" applyBorder="1" applyAlignment="1">
      <alignment horizontal="left" wrapText="1"/>
    </xf>
    <xf numFmtId="0" fontId="41" fillId="0" borderId="0" xfId="0" applyFont="1" applyFill="1" applyAlignment="1">
      <alignment horizontal="center"/>
    </xf>
    <xf numFmtId="0" fontId="45" fillId="0" borderId="0" xfId="0" applyFont="1" applyAlignment="1">
      <alignment horizontal="left" vertical="center" wrapText="1"/>
    </xf>
    <xf numFmtId="0" fontId="45" fillId="0" borderId="0" xfId="0" applyFont="1" applyAlignment="1">
      <alignment horizontal="left" vertical="center"/>
    </xf>
    <xf numFmtId="0" fontId="46" fillId="0" borderId="0" xfId="0" applyFont="1" applyFill="1" applyAlignment="1">
      <alignment horizontal="center" wrapText="1"/>
    </xf>
    <xf numFmtId="0" fontId="11" fillId="0" borderId="0" xfId="0" applyFont="1" applyFill="1" applyBorder="1" applyAlignment="1">
      <alignment horizontal="left" wrapText="1"/>
    </xf>
    <xf numFmtId="0" fontId="36" fillId="0" borderId="1" xfId="0" applyFont="1" applyBorder="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22</xdr:row>
      <xdr:rowOff>93272</xdr:rowOff>
    </xdr:from>
    <xdr:to>
      <xdr:col>1</xdr:col>
      <xdr:colOff>5319586</xdr:colOff>
      <xdr:row>25</xdr:row>
      <xdr:rowOff>171174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14300" y="4737055"/>
          <a:ext cx="6988808" cy="6411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53072</xdr:colOff>
      <xdr:row>5</xdr:row>
      <xdr:rowOff>302779</xdr:rowOff>
    </xdr:from>
    <xdr:to>
      <xdr:col>5</xdr:col>
      <xdr:colOff>5762629</xdr:colOff>
      <xdr:row>5</xdr:row>
      <xdr:rowOff>778743</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100-000002000000}"/>
                </a:ext>
              </a:extLst>
            </xdr:cNvPr>
            <xdr:cNvSpPr txBox="1">
              <a:spLocks noChangeAspect="1"/>
            </xdr:cNvSpPr>
          </xdr:nvSpPr>
          <xdr:spPr>
            <a:xfrm>
              <a:off x="6422122" y="2087129"/>
              <a:ext cx="5709557" cy="475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𝑅𝑊</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m:t>
                        </m:r>
                      </m:sub>
                    </m:sSub>
                    <m:r>
                      <a:rPr lang="en-US" sz="1100" b="0" i="1">
                        <a:latin typeface="Cambria Math" panose="02040503050406030204" pitchFamily="18" charset="0"/>
                      </a:rPr>
                      <m:t>=</m:t>
                    </m:r>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𝑁</m:t>
                        </m:r>
                      </m:sup>
                      <m:e>
                        <m:r>
                          <a:rPr lang="en-US" sz="1100" b="0" i="1">
                            <a:latin typeface="Cambria Math" panose="02040503050406030204" pitchFamily="18" charset="0"/>
                          </a:rPr>
                          <m:t>𝑅𝑊</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m:t>
                            </m:r>
                            <m:r>
                              <a:rPr lang="en-US" sz="1100" b="0" i="1">
                                <a:latin typeface="Cambria Math" panose="02040503050406030204" pitchFamily="18" charset="0"/>
                              </a:rPr>
                              <m:t>𝑖</m:t>
                            </m:r>
                          </m:sub>
                        </m:sSub>
                      </m:e>
                    </m:nary>
                    <m:r>
                      <a:rPr lang="en-US" sz="1100" b="0" i="1">
                        <a:latin typeface="Cambria Math" panose="02040503050406030204" pitchFamily="18" charset="0"/>
                      </a:rPr>
                      <m:t>  </m:t>
                    </m:r>
                    <m:r>
                      <a:rPr lang="en-US" sz="1100" b="0" i="1">
                        <a:latin typeface="Cambria Math" panose="02040503050406030204" pitchFamily="18" charset="0"/>
                      </a:rPr>
                      <m:t>𝑤h𝑒𝑟𝑒</m:t>
                    </m:r>
                    <m:r>
                      <a:rPr lang="en-US" sz="1100" b="0" i="1">
                        <a:latin typeface="Cambria Math" panose="02040503050406030204" pitchFamily="18" charset="0"/>
                      </a:rPr>
                      <m:t> </m:t>
                    </m:r>
                    <m:r>
                      <a:rPr lang="en-US" sz="1100" b="0" i="1">
                        <a:latin typeface="Cambria Math" panose="02040503050406030204" pitchFamily="18" charset="0"/>
                      </a:rPr>
                      <m:t>𝑁</m:t>
                    </m:r>
                    <m:r>
                      <a:rPr lang="en-US" sz="1100" b="0" i="1">
                        <a:latin typeface="Cambria Math" panose="02040503050406030204" pitchFamily="18" charset="0"/>
                      </a:rPr>
                      <m:t> </m:t>
                    </m:r>
                    <m:r>
                      <a:rPr lang="en-US" sz="1100" b="0" i="1">
                        <a:latin typeface="Cambria Math" panose="02040503050406030204" pitchFamily="18" charset="0"/>
                      </a:rPr>
                      <m:t>𝑖𝑠</m:t>
                    </m:r>
                    <m:r>
                      <a:rPr lang="en-US" sz="1100" b="0" i="1">
                        <a:latin typeface="Cambria Math" panose="02040503050406030204" pitchFamily="18" charset="0"/>
                      </a:rPr>
                      <m:t> </m:t>
                    </m:r>
                    <m:r>
                      <a:rPr lang="en-US" sz="1100" b="0" i="1">
                        <a:latin typeface="Cambria Math" panose="02040503050406030204" pitchFamily="18" charset="0"/>
                      </a:rPr>
                      <m:t>𝑡h𝑒</m:t>
                    </m:r>
                    <m:r>
                      <a:rPr lang="en-US" sz="1100" b="0" i="1">
                        <a:latin typeface="Cambria Math" panose="02040503050406030204" pitchFamily="18" charset="0"/>
                      </a:rPr>
                      <m:t> </m:t>
                    </m:r>
                    <m:r>
                      <a:rPr lang="en-US" sz="1100" b="0" i="1">
                        <a:latin typeface="Cambria Math" panose="02040503050406030204" pitchFamily="18" charset="0"/>
                      </a:rPr>
                      <m:t>𝑡𝑜𝑡𝑎𝑙</m:t>
                    </m:r>
                    <m:r>
                      <a:rPr lang="en-US" sz="1100" b="0" i="1">
                        <a:latin typeface="Cambria Math" panose="02040503050406030204" pitchFamily="18" charset="0"/>
                      </a:rPr>
                      <m:t> </m:t>
                    </m:r>
                    <m:r>
                      <a:rPr lang="en-US" sz="1100" b="0" i="1">
                        <a:latin typeface="Cambria Math" panose="02040503050406030204" pitchFamily="18" charset="0"/>
                      </a:rPr>
                      <m:t>𝑛𝑢𝑚𝑏𝑒𝑟</m:t>
                    </m:r>
                    <m:r>
                      <a:rPr lang="en-US" sz="1100" b="0" i="1">
                        <a:latin typeface="Cambria Math" panose="02040503050406030204" pitchFamily="18" charset="0"/>
                      </a:rPr>
                      <m:t> </m:t>
                    </m:r>
                    <m:r>
                      <a:rPr lang="en-US" sz="1100" b="0" i="1">
                        <a:latin typeface="Cambria Math" panose="02040503050406030204" pitchFamily="18" charset="0"/>
                      </a:rPr>
                      <m:t>𝑜𝑓</m:t>
                    </m:r>
                    <m:r>
                      <a:rPr lang="en-US" sz="1100" b="0" i="1">
                        <a:latin typeface="Cambria Math" panose="02040503050406030204" pitchFamily="18" charset="0"/>
                      </a:rPr>
                      <m:t> </m:t>
                    </m:r>
                    <m:r>
                      <a:rPr lang="en-US" sz="1100" b="0" i="1">
                        <a:latin typeface="Cambria Math" panose="02040503050406030204" pitchFamily="18" charset="0"/>
                      </a:rPr>
                      <m:t>𝑢𝑛𝑑𝑒𝑟𝑙𝑦𝑖𝑛𝑔</m:t>
                    </m:r>
                    <m:r>
                      <a:rPr lang="en-US" sz="1100" b="0" i="1">
                        <a:latin typeface="Cambria Math" panose="02040503050406030204" pitchFamily="18" charset="0"/>
                      </a:rPr>
                      <m:t> </m:t>
                    </m:r>
                    <m:r>
                      <a:rPr lang="en-US" sz="1100" b="0" i="1">
                        <a:latin typeface="Cambria Math" panose="02040503050406030204" pitchFamily="18" charset="0"/>
                      </a:rPr>
                      <m:t>𝑚𝑜𝑟𝑡𝑔𝑎𝑔𝑒</m:t>
                    </m:r>
                    <m:r>
                      <a:rPr lang="en-US" sz="1100" b="0" i="1">
                        <a:latin typeface="Cambria Math" panose="02040503050406030204" pitchFamily="18" charset="0"/>
                      </a:rPr>
                      <m:t> </m:t>
                    </m:r>
                    <m:r>
                      <a:rPr lang="en-US" sz="1100" b="0" i="1">
                        <a:latin typeface="Cambria Math" panose="02040503050406030204" pitchFamily="18" charset="0"/>
                      </a:rPr>
                      <m:t>𝑒𝑥𝑝𝑜𝑠𝑢𝑟𝑒𝑠</m:t>
                    </m:r>
                    <m:r>
                      <a:rPr lang="en-US" sz="1100" b="0" i="1">
                        <a:latin typeface="Cambria Math" panose="02040503050406030204" pitchFamily="18" charset="0"/>
                      </a:rPr>
                      <m:t>. </m:t>
                    </m:r>
                  </m:oMath>
                </m:oMathPara>
              </a14:m>
              <a:endParaRPr lang="en-US" sz="1100" b="0"/>
            </a:p>
          </xdr:txBody>
        </xdr:sp>
      </mc:Choice>
      <mc:Fallback xmlns="">
        <xdr:sp macro="" textlink="">
          <xdr:nvSpPr>
            <xdr:cNvPr id="2" name="TextBox 1">
              <a:extLst>
                <a:ext uri="{FF2B5EF4-FFF2-40B4-BE49-F238E27FC236}">
                  <a16:creationId xmlns:a16="http://schemas.microsoft.com/office/drawing/2014/main" id="{00000000-0008-0000-0100-000002000000}"/>
                </a:ext>
              </a:extLst>
            </xdr:cNvPr>
            <xdr:cNvSpPr txBox="1">
              <a:spLocks noChangeAspect="1"/>
            </xdr:cNvSpPr>
          </xdr:nvSpPr>
          <xdr:spPr>
            <a:xfrm>
              <a:off x="6422122" y="2087129"/>
              <a:ext cx="5709557" cy="475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lang="en-US" sz="1100" b="0" i="0">
                  <a:latin typeface="Cambria Math" panose="02040503050406030204" pitchFamily="18" charset="0"/>
                </a:rPr>
                <a:t>𝑅𝑊𝐴_$=∑_(𝑖=1)^𝑁▒〖𝑅𝑊𝐴_($,𝑖) 〗   𝑤ℎ𝑒𝑟𝑒 𝑁 𝑖𝑠 𝑡ℎ𝑒 𝑡𝑜𝑡𝑎𝑙 𝑛𝑢𝑚𝑏𝑒𝑟 𝑜𝑓 𝑢𝑛𝑑𝑒𝑟𝑙𝑦𝑖𝑛𝑔 𝑚𝑜𝑟𝑡𝑔𝑎𝑔𝑒 𝑒𝑥𝑝𝑜𝑠𝑢𝑟𝑒𝑠. </a:t>
              </a:r>
              <a:endParaRPr lang="en-US" sz="1100" b="0"/>
            </a:p>
          </xdr:txBody>
        </xdr:sp>
      </mc:Fallback>
    </mc:AlternateContent>
    <xdr:clientData/>
  </xdr:twoCellAnchor>
  <xdr:twoCellAnchor editAs="absolute">
    <xdr:from>
      <xdr:col>5</xdr:col>
      <xdr:colOff>226714</xdr:colOff>
      <xdr:row>6</xdr:row>
      <xdr:rowOff>909548</xdr:rowOff>
    </xdr:from>
    <xdr:to>
      <xdr:col>7</xdr:col>
      <xdr:colOff>140392</xdr:colOff>
      <xdr:row>6</xdr:row>
      <xdr:rowOff>1391862</xdr:rowOff>
    </xdr:to>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100-000005000000}"/>
                </a:ext>
              </a:extLst>
            </xdr:cNvPr>
            <xdr:cNvSpPr txBox="1">
              <a:spLocks noChangeAspect="1"/>
            </xdr:cNvSpPr>
          </xdr:nvSpPr>
          <xdr:spPr>
            <a:xfrm>
              <a:off x="6595764" y="4465548"/>
              <a:ext cx="8257578" cy="482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left"/>
                  </m:oMathParaPr>
                  <m:oMath xmlns:m="http://schemas.openxmlformats.org/officeDocument/2006/math">
                    <m:r>
                      <a:rPr lang="en-US" sz="1100" b="0" i="1">
                        <a:latin typeface="Cambria Math" panose="02040503050406030204" pitchFamily="18" charset="0"/>
                      </a:rPr>
                      <m:t>𝐶𝑛𝑡𝑝𝑡𝑦𝑅𝑊</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m:t>
                        </m:r>
                      </m:sub>
                    </m:sSub>
                    <m:r>
                      <a:rPr lang="en-US" sz="1100" b="0" i="1">
                        <a:latin typeface="Cambria Math" panose="02040503050406030204" pitchFamily="18" charset="0"/>
                      </a:rPr>
                      <m:t>=</m:t>
                    </m:r>
                    <m:r>
                      <a:rPr lang="en-US" sz="1100" b="0" i="1">
                        <a:latin typeface="Cambria Math" panose="02040503050406030204" pitchFamily="18" charset="0"/>
                      </a:rPr>
                      <m:t>𝑅𝑊</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m:t>
                        </m:r>
                      </m:sub>
                    </m:sSub>
                    <m:r>
                      <a:rPr lang="en-US" sz="1100" b="0" i="1">
                        <a:latin typeface="Cambria Math" panose="02040503050406030204" pitchFamily="18" charset="0"/>
                      </a:rPr>
                      <m:t>−</m:t>
                    </m:r>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𝑁</m:t>
                        </m:r>
                      </m:sup>
                      <m:e>
                        <m:r>
                          <a:rPr lang="en-US" sz="1100" b="0" i="1">
                            <a:solidFill>
                              <a:schemeClr val="tx1"/>
                            </a:solidFill>
                            <a:effectLst/>
                            <a:latin typeface="Cambria Math" panose="02040503050406030204" pitchFamily="18" charset="0"/>
                            <a:ea typeface="+mn-ea"/>
                            <a:cs typeface="+mn-cs"/>
                          </a:rPr>
                          <m:t>𝐸𝑥𝑝</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𝐴𝑚𝑡</m:t>
                            </m:r>
                          </m:e>
                          <m: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𝑖</m:t>
                            </m:r>
                          </m:sub>
                        </m:sSub>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𝐵𝑎𝑠𝑒𝑅</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𝑊</m:t>
                                </m:r>
                              </m:e>
                              <m:sub>
                                <m:r>
                                  <a:rPr lang="en-US" sz="1100" b="0" i="1">
                                    <a:solidFill>
                                      <a:schemeClr val="tx1"/>
                                    </a:solidFill>
                                    <a:effectLst/>
                                    <a:latin typeface="Cambria Math" panose="02040503050406030204" pitchFamily="18" charset="0"/>
                                    <a:ea typeface="+mn-ea"/>
                                    <a:cs typeface="+mn-cs"/>
                                  </a:rPr>
                                  <m:t>𝑖</m:t>
                                </m:r>
                              </m:sub>
                            </m:sSub>
                          </m:e>
                        </m:d>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𝐶𝑜𝑚𝑏𝑖𝑛𝑒𝑑𝑅𝑖𝑠𝑘𝑀𝑢𝑙𝑡𝑖𝑝𝑙𝑖𝑒</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𝑟</m:t>
                                </m:r>
                              </m:e>
                              <m:sub>
                                <m:r>
                                  <a:rPr lang="en-US" sz="1100" b="0" i="1">
                                    <a:solidFill>
                                      <a:schemeClr val="tx1"/>
                                    </a:solidFill>
                                    <a:effectLst/>
                                    <a:latin typeface="Cambria Math" panose="02040503050406030204" pitchFamily="18" charset="0"/>
                                    <a:ea typeface="+mn-ea"/>
                                    <a:cs typeface="+mn-cs"/>
                                  </a:rPr>
                                  <m:t>𝑖</m:t>
                                </m:r>
                              </m:sub>
                            </m:sSub>
                          </m:e>
                        </m:d>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𝐶𝑟𝑒𝑑𝑖𝑡𝐸𝑛h𝑎𝑛𝑐𝑒𝑚𝑒𝑛𝑡𝑀𝑢𝑙𝑡𝑖𝑝𝑙𝑖𝑒</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𝑟</m:t>
                                </m:r>
                              </m:e>
                              <m:sub>
                                <m:r>
                                  <a:rPr lang="en-US" sz="1100" b="0" i="1">
                                    <a:solidFill>
                                      <a:schemeClr val="tx1"/>
                                    </a:solidFill>
                                    <a:effectLst/>
                                    <a:latin typeface="Cambria Math" panose="02040503050406030204" pitchFamily="18" charset="0"/>
                                    <a:ea typeface="+mn-ea"/>
                                    <a:cs typeface="+mn-cs"/>
                                  </a:rPr>
                                  <m:t>𝑖</m:t>
                                </m:r>
                              </m:sub>
                            </m:sSub>
                          </m:e>
                        </m:d>
                      </m:e>
                    </m:nary>
                    <m:r>
                      <a:rPr lang="en-US" sz="1100" b="0" i="1">
                        <a:latin typeface="Cambria Math" panose="02040503050406030204" pitchFamily="18" charset="0"/>
                      </a:rPr>
                      <m:t>  </m:t>
                    </m:r>
                  </m:oMath>
                </m:oMathPara>
              </a14:m>
              <a:endParaRPr lang="en-US" sz="1100" b="0"/>
            </a:p>
          </xdr:txBody>
        </xdr:sp>
      </mc:Choice>
      <mc:Fallback xmlns="">
        <xdr:sp macro="" textlink="">
          <xdr:nvSpPr>
            <xdr:cNvPr id="5" name="TextBox 4">
              <a:extLst>
                <a:ext uri="{FF2B5EF4-FFF2-40B4-BE49-F238E27FC236}">
                  <a16:creationId xmlns:a16="http://schemas.microsoft.com/office/drawing/2014/main" id="{00000000-0008-0000-0100-000005000000}"/>
                </a:ext>
              </a:extLst>
            </xdr:cNvPr>
            <xdr:cNvSpPr txBox="1">
              <a:spLocks noChangeAspect="1"/>
            </xdr:cNvSpPr>
          </xdr:nvSpPr>
          <xdr:spPr>
            <a:xfrm>
              <a:off x="6595764" y="4465548"/>
              <a:ext cx="8257578" cy="4823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b="0" i="0">
                  <a:latin typeface="Cambria Math" panose="02040503050406030204" pitchFamily="18" charset="0"/>
                </a:rPr>
                <a:t>𝐶𝑛𝑡𝑝𝑡𝑦𝑅𝑊𝐴_$=𝑅𝑊𝐴_$−∑_(𝑖=1)^𝑁</a:t>
              </a:r>
              <a:r>
                <a:rPr lang="en-US" sz="1100" b="0" i="0">
                  <a:solidFill>
                    <a:schemeClr val="tx1"/>
                  </a:solidFill>
                  <a:effectLst/>
                  <a:latin typeface="Cambria Math" panose="02040503050406030204" pitchFamily="18" charset="0"/>
                  <a:ea typeface="+mn-ea"/>
                  <a:cs typeface="+mn-cs"/>
                </a:rPr>
                <a:t>▒〖𝐸𝑥𝑝〖𝐴𝑚𝑡〗_($,𝑖)∗(𝐵𝑎𝑠𝑒𝑅𝑊_𝑖 )∗(𝐶𝑜𝑚𝑏𝑖𝑛𝑒𝑑𝑅𝑖𝑠𝑘𝑀𝑢𝑙𝑡𝑖𝑝𝑙𝑖𝑒𝑟_𝑖 )∗(𝐶𝑟𝑒𝑑𝑖𝑡𝐸𝑛ℎ𝑎𝑛𝑐𝑒𝑚𝑒𝑛𝑡𝑀𝑢𝑙𝑡𝑖𝑝𝑙𝑖𝑒𝑟_𝑖 ) 〗 </a:t>
              </a:r>
              <a:r>
                <a:rPr lang="en-US" sz="1100" b="0" i="0">
                  <a:latin typeface="Cambria Math" panose="02040503050406030204" pitchFamily="18" charset="0"/>
                </a:rPr>
                <a:t>  </a:t>
              </a:r>
              <a:endParaRPr lang="en-US" sz="1100" b="0"/>
            </a:p>
          </xdr:txBody>
        </xdr:sp>
      </mc:Fallback>
    </mc:AlternateContent>
    <xdr:clientData/>
  </xdr:twoCellAnchor>
  <xdr:twoCellAnchor editAs="absolute">
    <xdr:from>
      <xdr:col>5</xdr:col>
      <xdr:colOff>239577</xdr:colOff>
      <xdr:row>7</xdr:row>
      <xdr:rowOff>416434</xdr:rowOff>
    </xdr:from>
    <xdr:to>
      <xdr:col>5</xdr:col>
      <xdr:colOff>5910971</xdr:colOff>
      <xdr:row>7</xdr:row>
      <xdr:rowOff>892398</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100-000007000000}"/>
                </a:ext>
              </a:extLst>
            </xdr:cNvPr>
            <xdr:cNvSpPr txBox="1">
              <a:spLocks noChangeAspect="1"/>
            </xdr:cNvSpPr>
          </xdr:nvSpPr>
          <xdr:spPr>
            <a:xfrm>
              <a:off x="6608627" y="5655184"/>
              <a:ext cx="5671394" cy="475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14:m>
                <m:oMathPara xmlns:m="http://schemas.openxmlformats.org/officeDocument/2006/math">
                  <m:oMathParaPr>
                    <m:jc m:val="left"/>
                  </m:oMathParaPr>
                  <m:oMath xmlns:m="http://schemas.openxmlformats.org/officeDocument/2006/math">
                    <m:r>
                      <m:rPr>
                        <m:nor/>
                      </m:rPr>
                      <a:rPr lang="en-US" sz="1100" b="0">
                        <a:solidFill>
                          <a:sysClr val="windowText" lastClr="000000"/>
                        </a:solidFill>
                        <a:effectLst/>
                        <a:latin typeface="Cambria Math" panose="02040503050406030204" pitchFamily="18" charset="0"/>
                        <a:ea typeface="Cambria Math" panose="02040503050406030204" pitchFamily="18" charset="0"/>
                        <a:cs typeface="+mn-cs"/>
                      </a:rPr>
                      <m:t>For</m:t>
                    </m:r>
                    <m:r>
                      <m:rPr>
                        <m:nor/>
                      </m:rPr>
                      <a:rPr lang="en-US" sz="1100" b="0" i="1">
                        <a:solidFill>
                          <a:sysClr val="windowText" lastClr="000000"/>
                        </a:solidFill>
                        <a:effectLst/>
                        <a:latin typeface="Cambria Math" panose="02040503050406030204" pitchFamily="18" charset="0"/>
                        <a:ea typeface="Cambria Math" panose="02040503050406030204" pitchFamily="18" charset="0"/>
                        <a:cs typeface="+mn-cs"/>
                      </a:rPr>
                      <m:t> </m:t>
                    </m:r>
                    <m:r>
                      <m:rPr>
                        <m:nor/>
                      </m:rPr>
                      <a:rPr lang="en-US" sz="1100" b="0">
                        <a:solidFill>
                          <a:sysClr val="windowText" lastClr="000000"/>
                        </a:solidFill>
                        <a:effectLst/>
                        <a:latin typeface="Cambria Math" panose="02040503050406030204" pitchFamily="18" charset="0"/>
                        <a:ea typeface="Cambria Math" panose="02040503050406030204" pitchFamily="18" charset="0"/>
                        <a:cs typeface="+mn-cs"/>
                      </a:rPr>
                      <m:t>a</m:t>
                    </m:r>
                    <m:r>
                      <m:rPr>
                        <m:nor/>
                      </m:rPr>
                      <a:rPr lang="en-US" sz="1100" b="0" i="1">
                        <a:solidFill>
                          <a:sysClr val="windowText" lastClr="000000"/>
                        </a:solidFill>
                        <a:effectLst/>
                        <a:latin typeface="Cambria Math" panose="02040503050406030204" pitchFamily="18" charset="0"/>
                        <a:ea typeface="Cambria Math" panose="02040503050406030204" pitchFamily="18" charset="0"/>
                        <a:cs typeface="+mn-cs"/>
                      </a:rPr>
                      <m:t> </m:t>
                    </m:r>
                    <m:r>
                      <m:rPr>
                        <m:nor/>
                      </m:rPr>
                      <a:rPr lang="en-US" sz="1100" b="0">
                        <a:solidFill>
                          <a:sysClr val="windowText" lastClr="000000"/>
                        </a:solidFill>
                        <a:effectLst/>
                        <a:latin typeface="Cambria Math" panose="02040503050406030204" pitchFamily="18" charset="0"/>
                        <a:ea typeface="Cambria Math" panose="02040503050406030204" pitchFamily="18" charset="0"/>
                        <a:cs typeface="+mn-cs"/>
                      </a:rPr>
                      <m:t>generic</m:t>
                    </m:r>
                    <m:r>
                      <m:rPr>
                        <m:nor/>
                      </m:rPr>
                      <a:rPr lang="en-US" sz="1100" b="0" i="1">
                        <a:solidFill>
                          <a:sysClr val="windowText" lastClr="000000"/>
                        </a:solidFill>
                        <a:effectLst/>
                        <a:latin typeface="Cambria Math" panose="02040503050406030204" pitchFamily="18" charset="0"/>
                        <a:ea typeface="Cambria Math" panose="02040503050406030204" pitchFamily="18" charset="0"/>
                        <a:cs typeface="+mn-cs"/>
                      </a:rPr>
                      <m:t> </m:t>
                    </m:r>
                    <m:r>
                      <m:rPr>
                        <m:nor/>
                      </m:rPr>
                      <a:rPr lang="en-US" sz="1100" b="0">
                        <a:solidFill>
                          <a:sysClr val="windowText" lastClr="000000"/>
                        </a:solidFill>
                        <a:effectLst/>
                        <a:latin typeface="Cambria Math" panose="02040503050406030204" pitchFamily="18" charset="0"/>
                        <a:ea typeface="Cambria Math" panose="02040503050406030204" pitchFamily="18" charset="0"/>
                        <a:cs typeface="+mn-cs"/>
                      </a:rPr>
                      <m:t>single</m:t>
                    </m:r>
                    <m:r>
                      <m:rPr>
                        <m:nor/>
                      </m:rPr>
                      <a:rPr lang="en-US" sz="1100" b="0" i="1">
                        <a:solidFill>
                          <a:sysClr val="windowText" lastClr="000000"/>
                        </a:solidFill>
                        <a:effectLst/>
                        <a:latin typeface="Cambria Math" panose="02040503050406030204" pitchFamily="18" charset="0"/>
                        <a:ea typeface="Cambria Math" panose="02040503050406030204" pitchFamily="18" charset="0"/>
                        <a:cs typeface="+mn-cs"/>
                      </a:rPr>
                      <m:t>−</m:t>
                    </m:r>
                    <m:r>
                      <m:rPr>
                        <m:nor/>
                      </m:rPr>
                      <a:rPr lang="en-US" sz="1100" b="0">
                        <a:solidFill>
                          <a:sysClr val="windowText" lastClr="000000"/>
                        </a:solidFill>
                        <a:effectLst/>
                        <a:latin typeface="Cambria Math" panose="02040503050406030204" pitchFamily="18" charset="0"/>
                        <a:ea typeface="Cambria Math" panose="02040503050406030204" pitchFamily="18" charset="0"/>
                        <a:cs typeface="+mn-cs"/>
                      </a:rPr>
                      <m:t>family</m:t>
                    </m:r>
                    <m:r>
                      <m:rPr>
                        <m:nor/>
                      </m:rPr>
                      <a:rPr lang="en-US" sz="1100" b="0" i="1" baseline="0">
                        <a:solidFill>
                          <a:sysClr val="windowText" lastClr="000000"/>
                        </a:solidFill>
                        <a:effectLst/>
                        <a:latin typeface="Cambria Math" panose="02040503050406030204" pitchFamily="18" charset="0"/>
                        <a:ea typeface="Cambria Math" panose="02040503050406030204" pitchFamily="18" charset="0"/>
                        <a:cs typeface="+mn-cs"/>
                      </a:rPr>
                      <m:t> </m:t>
                    </m:r>
                    <m:r>
                      <m:rPr>
                        <m:nor/>
                      </m:rPr>
                      <a:rPr lang="en-US" sz="1100" b="0" i="0" baseline="0">
                        <a:solidFill>
                          <a:sysClr val="windowText" lastClr="000000"/>
                        </a:solidFill>
                        <a:effectLst/>
                        <a:latin typeface="Cambria Math" panose="02040503050406030204" pitchFamily="18" charset="0"/>
                        <a:ea typeface="Cambria Math" panose="02040503050406030204" pitchFamily="18" charset="0"/>
                        <a:cs typeface="+mn-cs"/>
                      </a:rPr>
                      <m:t>CRT</m:t>
                    </m:r>
                    <m:r>
                      <a:rPr lang="en-US" sz="1100" b="0" i="1" baseline="0">
                        <a:solidFill>
                          <a:sysClr val="windowText" lastClr="000000"/>
                        </a:solidFill>
                        <a:effectLst/>
                        <a:latin typeface="Cambria Math" panose="02040503050406030204" pitchFamily="18" charset="0"/>
                        <a:ea typeface="+mn-ea"/>
                        <a:cs typeface="+mn-cs"/>
                      </a:rPr>
                      <m:t>, </m:t>
                    </m:r>
                    <m:r>
                      <a:rPr lang="en-US" sz="1100" b="0" i="1">
                        <a:solidFill>
                          <a:sysClr val="windowText" lastClr="000000"/>
                        </a:solidFill>
                        <a:latin typeface="Cambria Math" panose="02040503050406030204" pitchFamily="18" charset="0"/>
                      </a:rPr>
                      <m:t>𝐴𝑔𝑔𝑈𝑃</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𝐵</m:t>
                        </m:r>
                      </m:e>
                      <m:sub>
                        <m:r>
                          <a:rPr lang="en-US" sz="1100" b="0" i="1">
                            <a:solidFill>
                              <a:sysClr val="windowText" lastClr="000000"/>
                            </a:solidFill>
                            <a:latin typeface="Cambria Math" panose="02040503050406030204" pitchFamily="18" charset="0"/>
                          </a:rPr>
                          <m:t>$</m:t>
                        </m:r>
                      </m:sub>
                    </m:sSub>
                    <m:r>
                      <a:rPr lang="en-US" sz="1100" b="0" i="1">
                        <a:solidFill>
                          <a:sysClr val="windowText" lastClr="000000"/>
                        </a:solidFill>
                        <a:latin typeface="Cambria Math" panose="02040503050406030204" pitchFamily="18" charset="0"/>
                      </a:rPr>
                      <m:t>=</m:t>
                    </m:r>
                    <m:nary>
                      <m:naryPr>
                        <m:chr m:val="∑"/>
                        <m:ctrlPr>
                          <a:rPr lang="en-US" sz="1100" b="0" i="1">
                            <a:solidFill>
                              <a:sysClr val="windowText" lastClr="000000"/>
                            </a:solidFill>
                            <a:latin typeface="Cambria Math" panose="02040503050406030204" pitchFamily="18" charset="0"/>
                          </a:rPr>
                        </m:ctrlPr>
                      </m:naryPr>
                      <m:sub>
                        <m:r>
                          <m:rPr>
                            <m:brk m:alnAt="23"/>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=1</m:t>
                        </m:r>
                      </m:sub>
                      <m:sup>
                        <m:r>
                          <a:rPr lang="en-US" sz="1100" b="0" i="1">
                            <a:solidFill>
                              <a:sysClr val="windowText" lastClr="000000"/>
                            </a:solidFill>
                            <a:latin typeface="Cambria Math" panose="02040503050406030204" pitchFamily="18" charset="0"/>
                          </a:rPr>
                          <m:t>𝑁</m:t>
                        </m:r>
                      </m:sup>
                      <m:e>
                        <m:r>
                          <a:rPr lang="en-US" sz="1100" b="0" i="1">
                            <a:solidFill>
                              <a:sysClr val="windowText" lastClr="000000"/>
                            </a:solidFill>
                            <a:latin typeface="Cambria Math" panose="02040503050406030204" pitchFamily="18" charset="0"/>
                          </a:rPr>
                          <m:t>𝐸𝑥𝑝𝐴𝑚</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𝑡</m:t>
                            </m:r>
                          </m:e>
                          <m:sub>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𝑖</m:t>
                            </m:r>
                          </m:sub>
                        </m:sSub>
                        <m:r>
                          <a:rPr lang="en-US" sz="1100" b="0" i="1">
                            <a:solidFill>
                              <a:sysClr val="windowText" lastClr="000000"/>
                            </a:solidFill>
                            <a:latin typeface="Cambria Math" panose="02040503050406030204" pitchFamily="18" charset="0"/>
                          </a:rPr>
                          <m:t> </m:t>
                        </m:r>
                      </m:e>
                    </m:nary>
                    <m:r>
                      <a:rPr lang="en-US" sz="1100" b="0" i="1">
                        <a:solidFill>
                          <a:sysClr val="windowText" lastClr="000000"/>
                        </a:solidFill>
                        <a:latin typeface="Cambria Math" panose="02040503050406030204" pitchFamily="18" charset="0"/>
                      </a:rPr>
                      <m:t>= </m:t>
                    </m:r>
                    <m:nary>
                      <m:naryPr>
                        <m:chr m:val="∑"/>
                        <m:ctrlPr>
                          <a:rPr lang="en-US" sz="1100" b="0" i="1">
                            <a:solidFill>
                              <a:sysClr val="windowText" lastClr="000000"/>
                            </a:solidFill>
                            <a:effectLst/>
                            <a:latin typeface="Cambria Math" panose="02040503050406030204" pitchFamily="18" charset="0"/>
                            <a:ea typeface="+mn-ea"/>
                            <a:cs typeface="+mn-cs"/>
                          </a:rPr>
                        </m:ctrlPr>
                      </m:naryPr>
                      <m:sub>
                        <m:r>
                          <m:rPr>
                            <m:brk m:alnAt="23"/>
                          </m:rP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up>
                        <m:r>
                          <a:rPr lang="en-US" sz="1100" b="0" i="1">
                            <a:solidFill>
                              <a:sysClr val="windowText" lastClr="000000"/>
                            </a:solidFill>
                            <a:effectLst/>
                            <a:latin typeface="Cambria Math" panose="02040503050406030204" pitchFamily="18" charset="0"/>
                            <a:ea typeface="+mn-ea"/>
                            <a:cs typeface="+mn-cs"/>
                          </a:rPr>
                          <m:t>𝑁</m:t>
                        </m:r>
                      </m:sup>
                      <m:e>
                        <m:r>
                          <a:rPr lang="en-US" sz="1100" b="0" i="1">
                            <a:solidFill>
                              <a:sysClr val="windowText" lastClr="000000"/>
                            </a:solidFill>
                            <a:effectLst/>
                            <a:latin typeface="Cambria Math" panose="02040503050406030204" pitchFamily="18" charset="0"/>
                            <a:ea typeface="+mn-ea"/>
                            <a:cs typeface="+mn-cs"/>
                          </a:rPr>
                          <m:t>𝑈𝑃</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𝐵</m:t>
                            </m:r>
                          </m:e>
                          <m:sub>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e>
                    </m:nary>
                    <m:r>
                      <a:rPr lang="en-US" sz="1100" b="0" i="1">
                        <a:solidFill>
                          <a:sysClr val="windowText" lastClr="000000"/>
                        </a:solidFill>
                        <a:latin typeface="Cambria Math" panose="02040503050406030204" pitchFamily="18" charset="0"/>
                      </a:rPr>
                      <m:t> </m:t>
                    </m:r>
                  </m:oMath>
                </m:oMathPara>
              </a14:m>
              <a:endParaRPr lang="en-US" sz="1100" b="0">
                <a:solidFill>
                  <a:sysClr val="windowText" lastClr="000000"/>
                </a:solidFill>
              </a:endParaRPr>
            </a:p>
          </xdr:txBody>
        </xdr:sp>
      </mc:Choice>
      <mc:Fallback xmlns="">
        <xdr:sp macro="" textlink="">
          <xdr:nvSpPr>
            <xdr:cNvPr id="7" name="TextBox 6">
              <a:extLst>
                <a:ext uri="{FF2B5EF4-FFF2-40B4-BE49-F238E27FC236}">
                  <a16:creationId xmlns:a16="http://schemas.microsoft.com/office/drawing/2014/main" id="{00000000-0008-0000-0100-000007000000}"/>
                </a:ext>
              </a:extLst>
            </xdr:cNvPr>
            <xdr:cNvSpPr txBox="1">
              <a:spLocks noChangeAspect="1"/>
            </xdr:cNvSpPr>
          </xdr:nvSpPr>
          <xdr:spPr>
            <a:xfrm>
              <a:off x="6608627" y="5655184"/>
              <a:ext cx="5671394" cy="4759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lang="en-US" sz="1100" b="0" i="0">
                  <a:solidFill>
                    <a:sysClr val="windowText" lastClr="000000"/>
                  </a:solidFill>
                  <a:effectLst/>
                  <a:latin typeface="Cambria Math" panose="02040503050406030204" pitchFamily="18" charset="0"/>
                  <a:ea typeface="Cambria Math" panose="02040503050406030204" pitchFamily="18" charset="0"/>
                  <a:cs typeface="+mn-cs"/>
                </a:rPr>
                <a:t>"For a generic single−family</a:t>
              </a:r>
              <a:r>
                <a:rPr lang="en-US" sz="1100" b="0" i="0" baseline="0">
                  <a:solidFill>
                    <a:sysClr val="windowText" lastClr="000000"/>
                  </a:solidFill>
                  <a:effectLst/>
                  <a:latin typeface="Cambria Math" panose="02040503050406030204" pitchFamily="18" charset="0"/>
                  <a:ea typeface="Cambria Math" panose="02040503050406030204" pitchFamily="18" charset="0"/>
                  <a:cs typeface="+mn-cs"/>
                </a:rPr>
                <a:t> CRT</a:t>
              </a:r>
              <a:r>
                <a:rPr lang="en-US" sz="1100" b="0" i="0" baseline="0">
                  <a:solidFill>
                    <a:sysClr val="windowText" lastClr="000000"/>
                  </a:solidFill>
                  <a:effectLst/>
                  <a:latin typeface="Cambria Math" panose="02040503050406030204" pitchFamily="18" charset="0"/>
                  <a:ea typeface="+mn-ea"/>
                  <a:cs typeface="+mn-cs"/>
                </a:rPr>
                <a:t>", </a:t>
              </a:r>
              <a:r>
                <a:rPr lang="en-US" sz="1100" b="0" i="0">
                  <a:solidFill>
                    <a:sysClr val="windowText" lastClr="000000"/>
                  </a:solidFill>
                  <a:latin typeface="Cambria Math" panose="02040503050406030204" pitchFamily="18" charset="0"/>
                </a:rPr>
                <a:t>𝐴𝑔𝑔𝑈𝑃𝐵_$=∑_(𝑖=1)^𝑁▒〖𝐸𝑥𝑝𝐴𝑚𝑡_($,𝑖)  〗= </a:t>
              </a:r>
              <a:r>
                <a:rPr lang="en-US" sz="1100" b="0" i="0">
                  <a:solidFill>
                    <a:sysClr val="windowText" lastClr="000000"/>
                  </a:solidFill>
                  <a:effectLst/>
                  <a:latin typeface="Cambria Math" panose="02040503050406030204" pitchFamily="18" charset="0"/>
                  <a:ea typeface="+mn-ea"/>
                  <a:cs typeface="+mn-cs"/>
                </a:rPr>
                <a:t>∑_(𝑖=1)^𝑁▒〖𝑈𝑃𝐵_($,𝑖)  〗 </a:t>
              </a:r>
              <a:r>
                <a:rPr lang="en-US" sz="1100" b="0" i="0">
                  <a:solidFill>
                    <a:sysClr val="windowText" lastClr="000000"/>
                  </a:solidFill>
                  <a:latin typeface="Cambria Math" panose="02040503050406030204" pitchFamily="18" charset="0"/>
                </a:rPr>
                <a:t> </a:t>
              </a:r>
              <a:endParaRPr lang="en-US" sz="1100" b="0">
                <a:solidFill>
                  <a:sysClr val="windowText" lastClr="000000"/>
                </a:solidFill>
              </a:endParaRPr>
            </a:p>
          </xdr:txBody>
        </xdr:sp>
      </mc:Fallback>
    </mc:AlternateContent>
    <xdr:clientData/>
  </xdr:twoCellAnchor>
  <xdr:oneCellAnchor>
    <xdr:from>
      <xdr:col>5</xdr:col>
      <xdr:colOff>1873623</xdr:colOff>
      <xdr:row>62</xdr:row>
      <xdr:rowOff>824006</xdr:rowOff>
    </xdr:from>
    <xdr:ext cx="2703304" cy="357918"/>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8552329" y="27531359"/>
              <a:ext cx="2703304" cy="357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=100%∗</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𝑅𝑊</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𝐶𝑛𝑡𝑝𝑡𝑦𝑅𝑊</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)∗8%</m:t>
                        </m:r>
                      </m:num>
                      <m:den>
                        <m:r>
                          <a:rPr lang="en-US" sz="1100" i="1">
                            <a:solidFill>
                              <a:schemeClr val="tx1"/>
                            </a:solidFill>
                            <a:effectLst/>
                            <a:latin typeface="Cambria Math" panose="02040503050406030204" pitchFamily="18" charset="0"/>
                            <a:ea typeface="+mn-ea"/>
                            <a:cs typeface="+mn-cs"/>
                          </a:rPr>
                          <m:t>𝐴𝑔𝑔𝑈𝑃</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r>
                              <a:rPr lang="en-US" sz="1100" i="1">
                                <a:solidFill>
                                  <a:schemeClr val="tx1"/>
                                </a:solidFill>
                                <a:effectLst/>
                                <a:latin typeface="Cambria Math" panose="02040503050406030204" pitchFamily="18" charset="0"/>
                                <a:ea typeface="+mn-ea"/>
                                <a:cs typeface="+mn-cs"/>
                              </a:rPr>
                              <m:t>$</m:t>
                            </m:r>
                          </m:sub>
                        </m:sSub>
                      </m:den>
                    </m:f>
                    <m:r>
                      <a:rPr lang="en-US" sz="1100" b="0" i="1">
                        <a:latin typeface="Cambria Math" panose="02040503050406030204" pitchFamily="18" charset="0"/>
                      </a:rPr>
                      <m:t> </m:t>
                    </m:r>
                  </m:oMath>
                </m:oMathPara>
              </a14:m>
              <a:endParaRPr lang="en-US" sz="1100"/>
            </a:p>
          </xdr:txBody>
        </xdr:sp>
      </mc:Choice>
      <mc:Fallback xmlns="">
        <xdr:sp macro="" textlink="">
          <xdr:nvSpPr>
            <xdr:cNvPr id="4" name="TextBox 3">
              <a:extLst>
                <a:ext uri="{FF2B5EF4-FFF2-40B4-BE49-F238E27FC236}">
                  <a16:creationId xmlns:a16="http://schemas.microsoft.com/office/drawing/2014/main" id="{F3AD2A10-7A0E-4F01-A26C-4879376719B1}"/>
                </a:ext>
              </a:extLst>
            </xdr:cNvPr>
            <xdr:cNvSpPr txBox="1"/>
          </xdr:nvSpPr>
          <xdr:spPr>
            <a:xfrm>
              <a:off x="8552329" y="27531359"/>
              <a:ext cx="2703304" cy="357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𝐾_𝐴=100%∗((𝑅𝑊𝐴_$−𝐶𝑛𝑡𝑝𝑡𝑦𝑅𝑊𝐴_$)∗8%)/(𝐴𝑔𝑔𝑈𝑃𝐵_$ )</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 </a:t>
              </a:r>
              <a:endParaRPr lang="en-US" sz="1100"/>
            </a:p>
          </xdr:txBody>
        </xdr:sp>
      </mc:Fallback>
    </mc:AlternateContent>
    <xdr:clientData/>
  </xdr:oneCellAnchor>
  <xdr:oneCellAnchor>
    <xdr:from>
      <xdr:col>5</xdr:col>
      <xdr:colOff>1895807</xdr:colOff>
      <xdr:row>62</xdr:row>
      <xdr:rowOff>1720538</xdr:rowOff>
    </xdr:from>
    <xdr:ext cx="1724575" cy="357918"/>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6081922" y="27330576"/>
              <a:ext cx="1724575" cy="357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=100%∗</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𝑅𝑊</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)∗8%</m:t>
                        </m:r>
                      </m:num>
                      <m:den>
                        <m:r>
                          <a:rPr lang="en-US" sz="1100" i="1">
                            <a:solidFill>
                              <a:schemeClr val="tx1"/>
                            </a:solidFill>
                            <a:effectLst/>
                            <a:latin typeface="Cambria Math" panose="02040503050406030204" pitchFamily="18" charset="0"/>
                            <a:ea typeface="+mn-ea"/>
                            <a:cs typeface="+mn-cs"/>
                          </a:rPr>
                          <m:t>𝐴𝑔𝑔𝑈𝑃</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r>
                              <a:rPr lang="en-US" sz="1100" i="1">
                                <a:solidFill>
                                  <a:schemeClr val="tx1"/>
                                </a:solidFill>
                                <a:effectLst/>
                                <a:latin typeface="Cambria Math" panose="02040503050406030204" pitchFamily="18" charset="0"/>
                                <a:ea typeface="+mn-ea"/>
                                <a:cs typeface="+mn-cs"/>
                              </a:rPr>
                              <m:t>$</m:t>
                            </m:r>
                          </m:sub>
                        </m:sSub>
                      </m:den>
                    </m:f>
                    <m:r>
                      <a:rPr lang="en-US" sz="1100" b="0" i="1">
                        <a:latin typeface="Cambria Math" panose="02040503050406030204" pitchFamily="18" charset="0"/>
                      </a:rPr>
                      <m:t> </m:t>
                    </m:r>
                  </m:oMath>
                </m:oMathPara>
              </a14:m>
              <a:endParaRPr lang="en-US" sz="1100"/>
            </a:p>
          </xdr:txBody>
        </xdr:sp>
      </mc:Choice>
      <mc:Fallback xmlns="">
        <xdr:sp macro="" textlink="">
          <xdr:nvSpPr>
            <xdr:cNvPr id="9" name="TextBox 8">
              <a:extLst>
                <a:ext uri="{FF2B5EF4-FFF2-40B4-BE49-F238E27FC236}">
                  <a16:creationId xmlns:a16="http://schemas.microsoft.com/office/drawing/2014/main" id="{8B09304C-FE77-485C-84C5-032ED44864D9}"/>
                </a:ext>
              </a:extLst>
            </xdr:cNvPr>
            <xdr:cNvSpPr txBox="1"/>
          </xdr:nvSpPr>
          <xdr:spPr>
            <a:xfrm>
              <a:off x="6081922" y="27330576"/>
              <a:ext cx="1724575" cy="3579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𝐾_𝐴=100%∗((𝑅𝑊𝐴_$)∗8%)/(𝐴𝑔𝑔𝑈𝑃𝐵_$ )</a:t>
              </a:r>
              <a:r>
                <a:rPr lang="en-US" sz="1100" b="0" i="0">
                  <a:solidFill>
                    <a:schemeClr val="tx1"/>
                  </a:solidFill>
                  <a:effectLst/>
                  <a:latin typeface="Cambria Math" panose="02040503050406030204" pitchFamily="18" charset="0"/>
                  <a:ea typeface="+mn-ea"/>
                  <a:cs typeface="+mn-cs"/>
                </a:rPr>
                <a:t> </a:t>
              </a:r>
              <a:r>
                <a:rPr lang="en-US" sz="1100" b="0" i="0">
                  <a:latin typeface="Cambria Math" panose="02040503050406030204" pitchFamily="18" charset="0"/>
                </a:rPr>
                <a:t> </a:t>
              </a:r>
              <a:endParaRPr lang="en-US" sz="1100"/>
            </a:p>
          </xdr:txBody>
        </xdr:sp>
      </mc:Fallback>
    </mc:AlternateContent>
    <xdr:clientData/>
  </xdr:oneCellAnchor>
  <xdr:oneCellAnchor>
    <xdr:from>
      <xdr:col>5</xdr:col>
      <xdr:colOff>1576294</xdr:colOff>
      <xdr:row>63</xdr:row>
      <xdr:rowOff>448235</xdr:rowOff>
    </xdr:from>
    <xdr:ext cx="1860317" cy="363689"/>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8255000" y="29239882"/>
              <a:ext cx="1860317" cy="363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𝐴𝑔𝑔𝐸𝐿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=100%∗</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𝐸𝐿</m:t>
                        </m:r>
                        <m:r>
                          <a:rPr lang="en-US" sz="1100" i="1">
                            <a:solidFill>
                              <a:schemeClr val="tx1"/>
                            </a:solidFill>
                            <a:effectLst/>
                            <a:latin typeface="Cambria Math" panose="02040503050406030204" pitchFamily="18" charset="0"/>
                            <a:ea typeface="+mn-ea"/>
                            <a:cs typeface="+mn-cs"/>
                          </a:rPr>
                          <m:t>$</m:t>
                        </m:r>
                      </m:num>
                      <m:den>
                        <m:r>
                          <a:rPr lang="en-US" sz="1100" i="1">
                            <a:solidFill>
                              <a:schemeClr val="tx1"/>
                            </a:solidFill>
                            <a:effectLst/>
                            <a:latin typeface="Cambria Math" panose="02040503050406030204" pitchFamily="18" charset="0"/>
                            <a:ea typeface="+mn-ea"/>
                            <a:cs typeface="+mn-cs"/>
                          </a:rPr>
                          <m:t>𝐴𝑔𝑔𝑈𝑃</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r>
                              <a:rPr lang="en-US" sz="1100" i="1">
                                <a:solidFill>
                                  <a:schemeClr val="tx1"/>
                                </a:solidFill>
                                <a:effectLst/>
                                <a:latin typeface="Cambria Math" panose="02040503050406030204" pitchFamily="18" charset="0"/>
                                <a:ea typeface="+mn-ea"/>
                                <a:cs typeface="+mn-cs"/>
                              </a:rPr>
                              <m:t>$</m:t>
                            </m:r>
                          </m:sub>
                        </m:sSub>
                      </m:den>
                    </m:f>
                  </m:oMath>
                </m:oMathPara>
              </a14:m>
              <a:endParaRPr lang="en-US" sz="1100"/>
            </a:p>
          </xdr:txBody>
        </xdr:sp>
      </mc:Choice>
      <mc:Fallback xmlns="">
        <xdr:sp macro="" textlink="">
          <xdr:nvSpPr>
            <xdr:cNvPr id="10" name="TextBox 9">
              <a:extLst>
                <a:ext uri="{FF2B5EF4-FFF2-40B4-BE49-F238E27FC236}">
                  <a16:creationId xmlns:a16="http://schemas.microsoft.com/office/drawing/2014/main" id="{50D21E33-5735-47FB-935C-32C7A5433025}"/>
                </a:ext>
              </a:extLst>
            </xdr:cNvPr>
            <xdr:cNvSpPr txBox="1"/>
          </xdr:nvSpPr>
          <xdr:spPr>
            <a:xfrm>
              <a:off x="8255000" y="29239882"/>
              <a:ext cx="1860317" cy="3636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〖𝐴𝑔𝑔𝐸𝐿〗_%=100%∗𝐸𝐿$/(𝐴𝑔𝑔𝑈𝑃𝐵_$ )</a:t>
              </a:r>
              <a:endParaRPr lang="en-US" sz="1100"/>
            </a:p>
          </xdr:txBody>
        </xdr:sp>
      </mc:Fallback>
    </mc:AlternateContent>
    <xdr:clientData/>
  </xdr:oneCellAnchor>
  <xdr:oneCellAnchor>
    <xdr:from>
      <xdr:col>5</xdr:col>
      <xdr:colOff>164351</xdr:colOff>
      <xdr:row>96</xdr:row>
      <xdr:rowOff>134472</xdr:rowOff>
    </xdr:from>
    <xdr:ext cx="3970381" cy="766107"/>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6843057" y="37890825"/>
              <a:ext cx="3970381"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d>
                      <m:dPr>
                        <m:begChr m:val="{"/>
                        <m:endChr m:val=""/>
                        <m:ctrlPr>
                          <a:rPr lang="en-US" sz="1100" i="1">
                            <a:solidFill>
                              <a:schemeClr val="tx1"/>
                            </a:solidFill>
                            <a:effectLst/>
                            <a:latin typeface="Cambria Math" panose="02040503050406030204" pitchFamily="18" charset="0"/>
                            <a:ea typeface="+mn-ea"/>
                            <a:cs typeface="+mn-cs"/>
                          </a:rPr>
                        </m:ctrlPr>
                      </m:dPr>
                      <m:e>
                        <m:m>
                          <m:mPr>
                            <m:mcs>
                              <m:mc>
                                <m:mcPr>
                                  <m:count m:val="1"/>
                                  <m:mcJc m:val="center"/>
                                </m:mcPr>
                              </m:mc>
                            </m:mcs>
                            <m:ctrlPr>
                              <a:rPr lang="en-US" sz="1100" i="1">
                                <a:solidFill>
                                  <a:schemeClr val="tx1"/>
                                </a:solidFill>
                                <a:effectLst/>
                                <a:latin typeface="Cambria Math" panose="02040503050406030204" pitchFamily="18" charset="0"/>
                                <a:ea typeface="+mn-ea"/>
                                <a:cs typeface="+mn-cs"/>
                              </a:rPr>
                            </m:ctrlPr>
                          </m:mPr>
                          <m:mr>
                            <m:e>
                              <m:r>
                                <a:rPr lang="en-US" sz="1100" i="1">
                                  <a:solidFill>
                                    <a:schemeClr val="tx1"/>
                                  </a:solidFill>
                                  <a:effectLst/>
                                  <a:latin typeface="Cambria Math" panose="02040503050406030204" pitchFamily="18" charset="0"/>
                                  <a:ea typeface="+mn-ea"/>
                                  <a:cs typeface="+mn-cs"/>
                                </a:rPr>
                                <m:t>100%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r>
                            <m:e>
                              <m:r>
                                <a:rPr lang="en-US" sz="1100" i="1">
                                  <a:solidFill>
                                    <a:schemeClr val="tx1"/>
                                  </a:solidFill>
                                  <a:effectLst/>
                                  <a:latin typeface="Cambria Math" panose="02040503050406030204" pitchFamily="18" charset="0"/>
                                  <a:ea typeface="+mn-ea"/>
                                  <a:cs typeface="+mn-cs"/>
                                </a:rPr>
                                <m:t>0%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e>
                          </m:mr>
                          <m:mr>
                            <m:e>
                              <m:r>
                                <a:rPr lang="en-US" sz="1100" i="1">
                                  <a:solidFill>
                                    <a:schemeClr val="tx1"/>
                                  </a:solidFill>
                                  <a:effectLst/>
                                  <a:latin typeface="Cambria Math" panose="02040503050406030204" pitchFamily="18" charset="0"/>
                                  <a:ea typeface="+mn-ea"/>
                                  <a:cs typeface="+mn-cs"/>
                                </a:rPr>
                                <m:t>100%∗</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&lt;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&lt;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
                      </m:e>
                    </m:d>
                  </m:oMath>
                </m:oMathPara>
              </a14:m>
              <a:endParaRPr lang="en-US" sz="1100">
                <a:solidFill>
                  <a:schemeClr val="tx1"/>
                </a:solidFill>
                <a:effectLst/>
                <a:latin typeface="+mn-lt"/>
                <a:ea typeface="+mn-ea"/>
                <a:cs typeface="+mn-cs"/>
              </a:endParaRPr>
            </a:p>
          </xdr:txBody>
        </xdr:sp>
      </mc:Choice>
      <mc:Fallback xmlns="">
        <xdr:sp macro="" textlink="">
          <xdr:nvSpPr>
            <xdr:cNvPr id="12" name="TextBox 11">
              <a:extLst>
                <a:ext uri="{FF2B5EF4-FFF2-40B4-BE49-F238E27FC236}">
                  <a16:creationId xmlns:a16="http://schemas.microsoft.com/office/drawing/2014/main" id="{5AAF9E5C-3EA6-4265-9944-67025CE5419D}"/>
                </a:ext>
              </a:extLst>
            </xdr:cNvPr>
            <xdr:cNvSpPr txBox="1"/>
          </xdr:nvSpPr>
          <xdr:spPr>
            <a:xfrm>
              <a:off x="6843057" y="37890825"/>
              <a:ext cx="3970381"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𝐸𝐿𝑆_(%,𝑇𝑟𝑎𝑛𝑐ℎ𝑒)={■8(100%  𝑖𝑓  𝐴𝑔𝑔𝐸𝐿_%≥𝐷 @0%  𝑖𝑓  𝐴𝑔𝑔𝐸𝐿_%≤𝐴@100%∗((𝐴𝑔𝑔𝐸𝐿_%−𝐴)/(𝐷−𝐴))   𝑖𝑓 𝐴&lt;𝐴𝑔𝑔𝐸𝐿_%&lt;𝐷 )┤</a:t>
              </a:r>
              <a:endParaRPr lang="en-US" sz="1100">
                <a:solidFill>
                  <a:schemeClr val="tx1"/>
                </a:solidFill>
                <a:effectLst/>
                <a:latin typeface="+mn-lt"/>
                <a:ea typeface="+mn-ea"/>
                <a:cs typeface="+mn-cs"/>
              </a:endParaRPr>
            </a:p>
          </xdr:txBody>
        </xdr:sp>
      </mc:Fallback>
    </mc:AlternateContent>
    <xdr:clientData/>
  </xdr:oneCellAnchor>
  <xdr:oneCellAnchor>
    <xdr:from>
      <xdr:col>5</xdr:col>
      <xdr:colOff>358588</xdr:colOff>
      <xdr:row>91</xdr:row>
      <xdr:rowOff>231587</xdr:rowOff>
    </xdr:from>
    <xdr:ext cx="4490781" cy="766107"/>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7037294" y="35784116"/>
              <a:ext cx="4490781"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𝑆𝐿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d>
                      <m:dPr>
                        <m:begChr m:val="{"/>
                        <m:endChr m:val=""/>
                        <m:ctrlPr>
                          <a:rPr lang="en-US" sz="1100" i="1">
                            <a:solidFill>
                              <a:schemeClr val="tx1"/>
                            </a:solidFill>
                            <a:effectLst/>
                            <a:latin typeface="Cambria Math" panose="02040503050406030204" pitchFamily="18" charset="0"/>
                            <a:ea typeface="+mn-ea"/>
                            <a:cs typeface="+mn-cs"/>
                          </a:rPr>
                        </m:ctrlPr>
                      </m:dPr>
                      <m:e>
                        <m:m>
                          <m:mPr>
                            <m:mcs>
                              <m:mc>
                                <m:mcPr>
                                  <m:count m:val="1"/>
                                  <m:mcJc m:val="center"/>
                                </m:mcPr>
                              </m:mc>
                            </m:mcs>
                            <m:ctrlPr>
                              <a:rPr lang="en-US" sz="1100" i="1">
                                <a:solidFill>
                                  <a:schemeClr val="tx1"/>
                                </a:solidFill>
                                <a:effectLst/>
                                <a:latin typeface="Cambria Math" panose="02040503050406030204" pitchFamily="18" charset="0"/>
                                <a:ea typeface="+mn-ea"/>
                                <a:cs typeface="+mn-cs"/>
                              </a:rPr>
                            </m:ctrlPr>
                          </m:mPr>
                          <m:mr>
                            <m:e>
                              <m:r>
                                <a:rPr lang="en-US" sz="1100" i="1">
                                  <a:solidFill>
                                    <a:schemeClr val="tx1"/>
                                  </a:solidFill>
                                  <a:effectLst/>
                                  <a:latin typeface="Cambria Math" panose="02040503050406030204" pitchFamily="18" charset="0"/>
                                  <a:ea typeface="+mn-ea"/>
                                  <a:cs typeface="+mn-cs"/>
                                </a:rPr>
                                <m:t>100%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r>
                            <m:e>
                              <m:r>
                                <a:rPr lang="en-US" sz="1100" i="1">
                                  <a:solidFill>
                                    <a:schemeClr val="tx1"/>
                                  </a:solidFill>
                                  <a:effectLst/>
                                  <a:latin typeface="Cambria Math" panose="02040503050406030204" pitchFamily="18" charset="0"/>
                                  <a:ea typeface="+mn-ea"/>
                                  <a:cs typeface="+mn-cs"/>
                                </a:rPr>
                                <m:t>0%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e>
                          </m:mr>
                          <m:mr>
                            <m:e>
                              <m:r>
                                <a:rPr lang="en-US" sz="1100" i="1">
                                  <a:solidFill>
                                    <a:schemeClr val="tx1"/>
                                  </a:solidFill>
                                  <a:effectLst/>
                                  <a:latin typeface="Cambria Math" panose="02040503050406030204" pitchFamily="18" charset="0"/>
                                  <a:ea typeface="+mn-ea"/>
                                  <a:cs typeface="+mn-cs"/>
                                </a:rPr>
                                <m:t>100%∗</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&lt;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&lt;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
                      </m:e>
                    </m:d>
                  </m:oMath>
                </m:oMathPara>
              </a14:m>
              <a:endParaRPr lang="en-US" sz="1100">
                <a:solidFill>
                  <a:schemeClr val="tx1"/>
                </a:solidFill>
                <a:effectLst/>
                <a:latin typeface="+mn-lt"/>
                <a:ea typeface="+mn-ea"/>
                <a:cs typeface="+mn-cs"/>
              </a:endParaRPr>
            </a:p>
          </xdr:txBody>
        </xdr:sp>
      </mc:Choice>
      <mc:Fallback xmlns="">
        <xdr:sp macro="" textlink="">
          <xdr:nvSpPr>
            <xdr:cNvPr id="13" name="TextBox 12">
              <a:extLst>
                <a:ext uri="{FF2B5EF4-FFF2-40B4-BE49-F238E27FC236}">
                  <a16:creationId xmlns:a16="http://schemas.microsoft.com/office/drawing/2014/main" id="{8B80A848-8F30-4C0C-B3D9-FB9151B1193C}"/>
                </a:ext>
              </a:extLst>
            </xdr:cNvPr>
            <xdr:cNvSpPr txBox="1"/>
          </xdr:nvSpPr>
          <xdr:spPr>
            <a:xfrm>
              <a:off x="7037294" y="35784116"/>
              <a:ext cx="4490781"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𝑆𝐿𝑆_(%,𝑇𝑟𝑎𝑛𝑐ℎ𝑒)={■8(100% 𝑖𝑓 𝐾_𝐴+𝐴𝑔𝑔𝐸𝐿_%≥𝐷 @0% 𝑖𝑓 𝐾_𝐴+𝐴𝑔𝑔𝐸𝐿_%≤𝐴@100%∗((𝐾_𝐴+𝐴𝑔𝑔𝐸𝐿_%−𝐴)/(𝐷−𝐴))  𝑖𝑓 𝐴&lt;𝐾_𝐴+𝐴𝑔𝑔𝐸𝐿_%&lt;𝐷. )┤</a:t>
              </a:r>
              <a:endParaRPr lang="en-US" sz="1100">
                <a:solidFill>
                  <a:schemeClr val="tx1"/>
                </a:solidFill>
                <a:effectLst/>
                <a:latin typeface="+mn-lt"/>
                <a:ea typeface="+mn-ea"/>
                <a:cs typeface="+mn-cs"/>
              </a:endParaRPr>
            </a:p>
          </xdr:txBody>
        </xdr:sp>
      </mc:Fallback>
    </mc:AlternateContent>
    <xdr:clientData/>
  </xdr:oneCellAnchor>
  <xdr:oneCellAnchor>
    <xdr:from>
      <xdr:col>5</xdr:col>
      <xdr:colOff>291353</xdr:colOff>
      <xdr:row>115</xdr:row>
      <xdr:rowOff>7468</xdr:rowOff>
    </xdr:from>
    <xdr:ext cx="3083088" cy="191078"/>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6970059" y="41319821"/>
              <a:ext cx="3083088"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𝑅</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𝑊</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∗1250%</m:t>
                        </m:r>
                      </m:e>
                    </m:d>
                    <m:r>
                      <a:rPr lang="en-US" sz="1100" i="1">
                        <a:solidFill>
                          <a:schemeClr val="tx1"/>
                        </a:solidFill>
                        <a:effectLst/>
                        <a:latin typeface="Cambria Math" panose="02040503050406030204" pitchFamily="18" charset="0"/>
                        <a:ea typeface="+mn-ea"/>
                        <a:cs typeface="+mn-cs"/>
                      </a:rPr>
                      <m:t>&gt;0 </m:t>
                    </m:r>
                    <m:r>
                      <a:rPr lang="en-US" sz="1100" i="1">
                        <a:solidFill>
                          <a:schemeClr val="tx1"/>
                        </a:solidFill>
                        <a:effectLst/>
                        <a:latin typeface="Cambria Math" panose="02040503050406030204" pitchFamily="18" charset="0"/>
                        <a:ea typeface="+mn-ea"/>
                        <a:cs typeface="+mn-cs"/>
                      </a:rPr>
                      <m:t>𝑡h𝑒𝑛</m:t>
                    </m:r>
                  </m:oMath>
                </m:oMathPara>
              </a14:m>
              <a:endParaRPr lang="en-US" sz="1100">
                <a:solidFill>
                  <a:schemeClr val="tx1"/>
                </a:solidFill>
                <a:effectLst/>
                <a:latin typeface="+mn-lt"/>
                <a:ea typeface="+mn-ea"/>
                <a:cs typeface="+mn-cs"/>
              </a:endParaRPr>
            </a:p>
          </xdr:txBody>
        </xdr:sp>
      </mc:Choice>
      <mc:Fallback xmlns="">
        <xdr:sp macro="" textlink="">
          <xdr:nvSpPr>
            <xdr:cNvPr id="14" name="TextBox 13">
              <a:extLst>
                <a:ext uri="{FF2B5EF4-FFF2-40B4-BE49-F238E27FC236}">
                  <a16:creationId xmlns:a16="http://schemas.microsoft.com/office/drawing/2014/main" id="{D45BC138-DB81-404F-8778-D4201D28A293}"/>
                </a:ext>
              </a:extLst>
            </xdr:cNvPr>
            <xdr:cNvSpPr txBox="1"/>
          </xdr:nvSpPr>
          <xdr:spPr>
            <a:xfrm>
              <a:off x="6970059" y="41319821"/>
              <a:ext cx="3083088"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𝑖𝑓 (𝑅𝑊_(%,𝑇𝑟𝑎𝑛𝑐ℎ𝑒)−𝐸𝐿𝑆_(%,𝑇𝑟𝑎𝑛𝑐ℎ𝑒)∗1250%)&gt;0 𝑡ℎ𝑒𝑛</a:t>
              </a:r>
              <a:endParaRPr lang="en-US" sz="1100">
                <a:solidFill>
                  <a:schemeClr val="tx1"/>
                </a:solidFill>
                <a:effectLst/>
                <a:latin typeface="+mn-lt"/>
                <a:ea typeface="+mn-ea"/>
                <a:cs typeface="+mn-cs"/>
              </a:endParaRPr>
            </a:p>
          </xdr:txBody>
        </xdr:sp>
      </mc:Fallback>
    </mc:AlternateContent>
    <xdr:clientData/>
  </xdr:oneCellAnchor>
  <xdr:oneCellAnchor>
    <xdr:from>
      <xdr:col>5</xdr:col>
      <xdr:colOff>89645</xdr:colOff>
      <xdr:row>115</xdr:row>
      <xdr:rowOff>261470</xdr:rowOff>
    </xdr:from>
    <xdr:ext cx="6223001" cy="609719"/>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6768351" y="43202411"/>
              <a:ext cx="6223001" cy="609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func>
                      <m:funcPr>
                        <m:ctrlPr>
                          <a:rPr lang="en-US" sz="1100" i="1">
                            <a:solidFill>
                              <a:schemeClr val="tx1"/>
                            </a:solidFill>
                            <a:effectLst/>
                            <a:latin typeface="Cambria Math" panose="02040503050406030204" pitchFamily="18" charset="0"/>
                            <a:ea typeface="+mn-ea"/>
                            <a:cs typeface="+mn-cs"/>
                          </a:rPr>
                        </m:ctrlPr>
                      </m:funcPr>
                      <m:fName>
                        <m:r>
                          <a:rPr lang="en-US" sz="1100" i="1">
                            <a:solidFill>
                              <a:schemeClr val="tx1"/>
                            </a:solidFill>
                            <a:effectLst/>
                            <a:latin typeface="Cambria Math" panose="02040503050406030204" pitchFamily="18" charset="0"/>
                            <a:ea typeface="+mn-ea"/>
                            <a:cs typeface="+mn-cs"/>
                          </a:rPr>
                          <m:t>𝐿𝑆𝐸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𝑚𝑎𝑥</m:t>
                        </m:r>
                      </m:fName>
                      <m:e>
                        <m:d>
                          <m:dPr>
                            <m:ctrlPr>
                              <a:rPr lang="en-US" sz="1100" i="1">
                                <a:solidFill>
                                  <a:schemeClr val="tx1"/>
                                </a:solidFill>
                                <a:effectLst/>
                                <a:latin typeface="Cambria Math" panose="02040503050406030204" pitchFamily="18" charset="0"/>
                                <a:ea typeface="+mn-ea"/>
                                <a:cs typeface="+mn-cs"/>
                              </a:rPr>
                            </m:ctrlPr>
                          </m:dPr>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m:t>
                                </m:r>
                                <m:r>
                                  <a:rPr lang="en-US" sz="1100" i="1">
                                    <a:solidFill>
                                      <a:schemeClr val="tx1"/>
                                    </a:solidFill>
                                    <a:effectLst/>
                                    <a:latin typeface="Cambria Math" panose="02040503050406030204" pitchFamily="18" charset="0"/>
                                    <a:ea typeface="+mn-ea"/>
                                    <a:cs typeface="+mn-cs"/>
                                  </a:rPr>
                                  <m:t>𝐻𝐶</m:t>
                                </m:r>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𝑈𝑛𝐶𝑜𝑙𝑙𝑎𝑡𝑈</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∗1250%+</m:t>
                                        </m:r>
                                        <m:r>
                                          <a:rPr lang="en-US" sz="1100" i="1">
                                            <a:solidFill>
                                              <a:schemeClr val="tx1"/>
                                            </a:solidFill>
                                            <a:effectLst/>
                                            <a:latin typeface="Cambria Math" panose="02040503050406030204" pitchFamily="18" charset="0"/>
                                            <a:ea typeface="+mn-ea"/>
                                            <a:cs typeface="+mn-cs"/>
                                          </a:rPr>
                                          <m:t>𝑆𝑅𝐼</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𝐹</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𝑀𝑖𝑛𝑅𝑊</m:t>
                                        </m:r>
                                      </m:e>
                                    </m:d>
                                  </m:num>
                                  <m:den>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𝑅</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𝑊</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∗1250%</m:t>
                                        </m:r>
                                      </m:e>
                                    </m:d>
                                  </m:den>
                                </m:f>
                              </m:e>
                            </m:d>
                            <m:r>
                              <a:rPr lang="en-US" sz="1100" i="1">
                                <a:solidFill>
                                  <a:schemeClr val="tx1"/>
                                </a:solidFill>
                                <a:effectLst/>
                                <a:latin typeface="Cambria Math" panose="02040503050406030204" pitchFamily="18" charset="0"/>
                                <a:ea typeface="+mn-ea"/>
                                <a:cs typeface="+mn-cs"/>
                              </a:rPr>
                              <m:t>,0%</m:t>
                            </m:r>
                          </m:e>
                        </m:d>
                      </m:e>
                    </m:func>
                  </m:oMath>
                </m:oMathPara>
              </a14:m>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Choice>
      <mc:Fallback xmlns="">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6768351" y="43202411"/>
              <a:ext cx="6223001" cy="609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〖𝐿𝑆𝐸𝐴_(%,𝑇𝑟𝑎𝑛𝑐ℎ𝑒)=𝑚𝑎𝑥〗⁡((1−𝐻𝐶∗((𝑈𝑛𝐶𝑜𝑙𝑙𝑎𝑡𝑈𝐿_(%,𝑇𝑟𝑎𝑛𝑐ℎ𝑒)∗1250%+𝑆𝑅𝐼𝐹_(%,𝑇𝑟𝑎𝑛𝑐ℎ𝑒)∗</a:t>
              </a:r>
              <a:r>
                <a:rPr lang="en-US" sz="1100" b="0" i="0">
                  <a:solidFill>
                    <a:schemeClr val="tx1"/>
                  </a:solidFill>
                  <a:effectLst/>
                  <a:latin typeface="Cambria Math" panose="02040503050406030204" pitchFamily="18" charset="0"/>
                  <a:ea typeface="+mn-ea"/>
                  <a:cs typeface="+mn-cs"/>
                </a:rPr>
                <a:t>𝑀𝑖𝑛𝑅𝑊))/((</a:t>
              </a:r>
              <a:r>
                <a:rPr lang="en-US" sz="1100" i="0">
                  <a:solidFill>
                    <a:schemeClr val="tx1"/>
                  </a:solidFill>
                  <a:effectLst/>
                  <a:latin typeface="Cambria Math" panose="02040503050406030204" pitchFamily="18" charset="0"/>
                  <a:ea typeface="+mn-ea"/>
                  <a:cs typeface="+mn-cs"/>
                </a:rPr>
                <a:t>𝑅𝑊_(%,𝑇𝑟𝑎𝑛𝑐ℎ𝑒)−𝐸𝐿𝑆_(%,𝑇𝑟𝑎𝑛𝑐ℎ𝑒)∗1250%) )),0%)</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Fallback>
    </mc:AlternateContent>
    <xdr:clientData/>
  </xdr:oneCellAnchor>
  <xdr:oneCellAnchor>
    <xdr:from>
      <xdr:col>5</xdr:col>
      <xdr:colOff>47812</xdr:colOff>
      <xdr:row>106</xdr:row>
      <xdr:rowOff>137457</xdr:rowOff>
    </xdr:from>
    <xdr:ext cx="5696752" cy="363305"/>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6726518" y="40799869"/>
              <a:ext cx="5696752" cy="363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𝑈𝑛𝐶𝑜𝑙𝑙𝑎𝑡𝑈</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a:rPr lang="en-US" sz="1100" i="1">
                            <a:solidFill>
                              <a:schemeClr val="tx1"/>
                            </a:solidFill>
                            <a:effectLst/>
                            <a:latin typeface="Cambria Math" panose="02040503050406030204" pitchFamily="18" charset="0"/>
                            <a:ea typeface="+mn-ea"/>
                            <a:cs typeface="+mn-cs"/>
                          </a:rPr>
                          <m:t>𝑚𝑎𝑥</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0% , </m:t>
                            </m:r>
                            <m:r>
                              <a:rPr lang="en-US" sz="1100" i="1">
                                <a:solidFill>
                                  <a:schemeClr val="tx1"/>
                                </a:solidFill>
                                <a:effectLst/>
                                <a:latin typeface="Cambria Math" panose="02040503050406030204" pitchFamily="18" charset="0"/>
                                <a:ea typeface="+mn-ea"/>
                                <a:cs typeface="+mn-cs"/>
                              </a:rPr>
                              <m:t>𝑆𝐿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a:rPr lang="en-US" sz="1100" i="1">
                                    <a:solidFill>
                                      <a:schemeClr val="tx1"/>
                                    </a:solidFill>
                                    <a:effectLst/>
                                    <a:latin typeface="Cambria Math" panose="02040503050406030204" pitchFamily="18" charset="0"/>
                                    <a:ea typeface="+mn-ea"/>
                                    <a:cs typeface="+mn-cs"/>
                                  </a:rPr>
                                  <m:t>𝑚𝑎𝑥</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𝐶𝑜𝑙𝑙𝑎</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𝑡</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𝑅𝐼𝐹</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 , </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d>
                              </m:e>
                            </m:func>
                          </m:e>
                        </m:d>
                      </m:e>
                    </m:func>
                  </m:oMath>
                </m:oMathPara>
              </a14:m>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Choice>
      <mc:Fallback xmlns="">
        <xdr:sp macro="" textlink="">
          <xdr:nvSpPr>
            <xdr:cNvPr id="16" name="TextBox 15">
              <a:extLst>
                <a:ext uri="{FF2B5EF4-FFF2-40B4-BE49-F238E27FC236}">
                  <a16:creationId xmlns:a16="http://schemas.microsoft.com/office/drawing/2014/main" id="{CC72F5D5-2353-4798-A223-363085D05506}"/>
                </a:ext>
              </a:extLst>
            </xdr:cNvPr>
            <xdr:cNvSpPr txBox="1"/>
          </xdr:nvSpPr>
          <xdr:spPr>
            <a:xfrm>
              <a:off x="6726518" y="40799869"/>
              <a:ext cx="5696752" cy="363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𝑈𝑛𝐶𝑜𝑙𝑙𝑎𝑡𝑈𝐿_(%,𝑇𝑟𝑎𝑛𝑐ℎ𝑒)=𝑚𝑎𝑥⁡(0% , 𝑆𝐿𝑆_(%,𝑇𝑟𝑎𝑛𝑐ℎ𝑒)−𝑚𝑎𝑥⁡(𝐶𝑜𝑙𝑙𝑎𝑡_(%𝑅𝐼𝐹,𝑇𝑟𝑎𝑛𝑐ℎ𝑒)  , 𝐸𝐿𝑆_(%,𝑇𝑟𝑎𝑛𝑐ℎ𝑒) ) )</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Fallback>
    </mc:AlternateContent>
    <xdr:clientData/>
  </xdr:oneCellAnchor>
  <xdr:oneCellAnchor>
    <xdr:from>
      <xdr:col>5</xdr:col>
      <xdr:colOff>245036</xdr:colOff>
      <xdr:row>111</xdr:row>
      <xdr:rowOff>245035</xdr:rowOff>
    </xdr:from>
    <xdr:ext cx="3929217" cy="191078"/>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4425453" y="41583535"/>
              <a:ext cx="3929217"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ysClr val="windowText" lastClr="000000"/>
                        </a:solidFill>
                        <a:effectLst/>
                        <a:latin typeface="Cambria Math" panose="02040503050406030204" pitchFamily="18" charset="0"/>
                        <a:ea typeface="+mn-ea"/>
                        <a:cs typeface="+mn-cs"/>
                      </a:rPr>
                      <m:t>𝑆𝑅𝐼</m:t>
                    </m:r>
                    <m:sSub>
                      <m:sSubPr>
                        <m:ctrlPr>
                          <a:rPr lang="en-US" sz="1100" i="1">
                            <a:solidFill>
                              <a:sysClr val="windowText" lastClr="000000"/>
                            </a:solidFill>
                            <a:effectLst/>
                            <a:latin typeface="Cambria Math" panose="02040503050406030204" pitchFamily="18" charset="0"/>
                            <a:ea typeface="+mn-ea"/>
                            <a:cs typeface="+mn-cs"/>
                          </a:rPr>
                        </m:ctrlPr>
                      </m:sSubPr>
                      <m:e>
                        <m:r>
                          <a:rPr lang="en-US" sz="1100" i="1">
                            <a:solidFill>
                              <a:sysClr val="windowText" lastClr="000000"/>
                            </a:solidFill>
                            <a:effectLst/>
                            <a:latin typeface="Cambria Math" panose="02040503050406030204" pitchFamily="18" charset="0"/>
                            <a:ea typeface="+mn-ea"/>
                            <a:cs typeface="+mn-cs"/>
                          </a:rPr>
                          <m:t>𝐹</m:t>
                        </m:r>
                      </m:e>
                      <m:sub>
                        <m:r>
                          <a:rPr lang="en-US" sz="1100" i="1">
                            <a:solidFill>
                              <a:sysClr val="windowText" lastClr="000000"/>
                            </a:solidFill>
                            <a:effectLst/>
                            <a:latin typeface="Cambria Math" panose="02040503050406030204" pitchFamily="18" charset="0"/>
                            <a:ea typeface="+mn-ea"/>
                            <a:cs typeface="+mn-cs"/>
                          </a:rPr>
                          <m:t>%,</m:t>
                        </m:r>
                        <m:r>
                          <a:rPr lang="en-US" sz="1100" i="1">
                            <a:solidFill>
                              <a:sysClr val="windowText" lastClr="000000"/>
                            </a:solidFill>
                            <a:effectLst/>
                            <a:latin typeface="Cambria Math" panose="02040503050406030204" pitchFamily="18" charset="0"/>
                            <a:ea typeface="+mn-ea"/>
                            <a:cs typeface="+mn-cs"/>
                          </a:rPr>
                          <m:t>𝑇𝑟𝑎𝑛𝑐h𝑒</m:t>
                        </m:r>
                      </m:sub>
                    </m:sSub>
                    <m:r>
                      <a:rPr lang="en-US" sz="1100" i="1">
                        <a:solidFill>
                          <a:sysClr val="windowText" lastClr="000000"/>
                        </a:solidFill>
                        <a:effectLst/>
                        <a:latin typeface="Cambria Math" panose="02040503050406030204" pitchFamily="18" charset="0"/>
                        <a:ea typeface="+mn-ea"/>
                        <a:cs typeface="+mn-cs"/>
                      </a:rPr>
                      <m:t>=</m:t>
                    </m:r>
                    <m:func>
                      <m:funcPr>
                        <m:ctrlPr>
                          <a:rPr lang="en-US" sz="1100" i="1">
                            <a:solidFill>
                              <a:sysClr val="windowText" lastClr="000000"/>
                            </a:solidFill>
                            <a:effectLst/>
                            <a:latin typeface="Cambria Math" panose="02040503050406030204" pitchFamily="18" charset="0"/>
                            <a:ea typeface="+mn-ea"/>
                            <a:cs typeface="+mn-cs"/>
                          </a:rPr>
                        </m:ctrlPr>
                      </m:funcPr>
                      <m:fName>
                        <m:r>
                          <a:rPr lang="en-US" sz="1100" b="0" i="1">
                            <a:solidFill>
                              <a:sysClr val="windowText" lastClr="000000"/>
                            </a:solidFill>
                            <a:effectLst/>
                            <a:latin typeface="Cambria Math" panose="02040503050406030204" pitchFamily="18" charset="0"/>
                            <a:ea typeface="+mn-ea"/>
                            <a:cs typeface="+mn-cs"/>
                          </a:rPr>
                          <m:t>100%−</m:t>
                        </m:r>
                        <m:r>
                          <a:rPr lang="en-US" sz="1100" i="1">
                            <a:solidFill>
                              <a:sysClr val="windowText" lastClr="000000"/>
                            </a:solidFill>
                            <a:effectLst/>
                            <a:latin typeface="Cambria Math" panose="02040503050406030204" pitchFamily="18" charset="0"/>
                            <a:ea typeface="+mn-ea"/>
                            <a:cs typeface="+mn-cs"/>
                          </a:rPr>
                          <m:t>𝑚𝑎𝑥</m:t>
                        </m:r>
                      </m:fName>
                      <m:e>
                        <m:d>
                          <m:dPr>
                            <m:ctrlPr>
                              <a:rPr lang="en-US" sz="1100" i="1">
                                <a:solidFill>
                                  <a:sysClr val="windowText" lastClr="000000"/>
                                </a:solidFill>
                                <a:effectLst/>
                                <a:latin typeface="Cambria Math" panose="02040503050406030204" pitchFamily="18" charset="0"/>
                                <a:ea typeface="+mn-ea"/>
                                <a:cs typeface="+mn-cs"/>
                              </a:rPr>
                            </m:ctrlPr>
                          </m:dPr>
                          <m:e>
                            <m:r>
                              <a:rPr lang="en-US" sz="1100" i="1">
                                <a:solidFill>
                                  <a:sysClr val="windowText" lastClr="000000"/>
                                </a:solidFill>
                                <a:effectLst/>
                                <a:latin typeface="Cambria Math" panose="02040503050406030204" pitchFamily="18" charset="0"/>
                                <a:ea typeface="+mn-ea"/>
                                <a:cs typeface="+mn-cs"/>
                              </a:rPr>
                              <m:t>𝑆𝐿</m:t>
                            </m:r>
                            <m:sSub>
                              <m:sSubPr>
                                <m:ctrlPr>
                                  <a:rPr lang="en-US" sz="1100" i="1">
                                    <a:solidFill>
                                      <a:sysClr val="windowText" lastClr="000000"/>
                                    </a:solidFill>
                                    <a:effectLst/>
                                    <a:latin typeface="Cambria Math" panose="02040503050406030204" pitchFamily="18" charset="0"/>
                                    <a:ea typeface="+mn-ea"/>
                                    <a:cs typeface="+mn-cs"/>
                                  </a:rPr>
                                </m:ctrlPr>
                              </m:sSubPr>
                              <m:e>
                                <m:r>
                                  <a:rPr lang="en-US" sz="1100" i="1">
                                    <a:solidFill>
                                      <a:sysClr val="windowText" lastClr="000000"/>
                                    </a:solidFill>
                                    <a:effectLst/>
                                    <a:latin typeface="Cambria Math" panose="02040503050406030204" pitchFamily="18" charset="0"/>
                                    <a:ea typeface="+mn-ea"/>
                                    <a:cs typeface="+mn-cs"/>
                                  </a:rPr>
                                  <m:t>𝑆</m:t>
                                </m:r>
                              </m:e>
                              <m:sub>
                                <m:r>
                                  <a:rPr lang="en-US" sz="1100" i="1">
                                    <a:solidFill>
                                      <a:sysClr val="windowText" lastClr="000000"/>
                                    </a:solidFill>
                                    <a:effectLst/>
                                    <a:latin typeface="Cambria Math" panose="02040503050406030204" pitchFamily="18" charset="0"/>
                                    <a:ea typeface="+mn-ea"/>
                                    <a:cs typeface="+mn-cs"/>
                                  </a:rPr>
                                  <m:t>%,</m:t>
                                </m:r>
                                <m:r>
                                  <a:rPr lang="en-US" sz="1100" i="1">
                                    <a:solidFill>
                                      <a:sysClr val="windowText" lastClr="000000"/>
                                    </a:solidFill>
                                    <a:effectLst/>
                                    <a:latin typeface="Cambria Math" panose="02040503050406030204" pitchFamily="18" charset="0"/>
                                    <a:ea typeface="+mn-ea"/>
                                    <a:cs typeface="+mn-cs"/>
                                  </a:rPr>
                                  <m:t>𝑇𝑟𝑎𝑛𝑐h𝑒</m:t>
                                </m:r>
                              </m:sub>
                            </m:sSub>
                            <m:r>
                              <a:rPr lang="en-US" sz="1100" i="1">
                                <a:solidFill>
                                  <a:sysClr val="windowText" lastClr="000000"/>
                                </a:solidFill>
                                <a:effectLst/>
                                <a:latin typeface="Cambria Math" panose="02040503050406030204" pitchFamily="18" charset="0"/>
                                <a:ea typeface="+mn-ea"/>
                                <a:cs typeface="+mn-cs"/>
                              </a:rPr>
                              <m:t>, </m:t>
                            </m:r>
                            <m:r>
                              <a:rPr lang="en-US" sz="1100" i="1">
                                <a:solidFill>
                                  <a:sysClr val="windowText" lastClr="000000"/>
                                </a:solidFill>
                                <a:effectLst/>
                                <a:latin typeface="Cambria Math" panose="02040503050406030204" pitchFamily="18" charset="0"/>
                                <a:ea typeface="+mn-ea"/>
                                <a:cs typeface="+mn-cs"/>
                              </a:rPr>
                              <m:t>𝐶𝑜𝑙𝑙𝑎</m:t>
                            </m:r>
                            <m:sSub>
                              <m:sSubPr>
                                <m:ctrlPr>
                                  <a:rPr lang="en-US" sz="1100" i="1">
                                    <a:solidFill>
                                      <a:sysClr val="windowText" lastClr="000000"/>
                                    </a:solidFill>
                                    <a:effectLst/>
                                    <a:latin typeface="Cambria Math" panose="02040503050406030204" pitchFamily="18" charset="0"/>
                                    <a:ea typeface="+mn-ea"/>
                                    <a:cs typeface="+mn-cs"/>
                                  </a:rPr>
                                </m:ctrlPr>
                              </m:sSubPr>
                              <m:e>
                                <m:r>
                                  <a:rPr lang="en-US" sz="1100" i="1">
                                    <a:solidFill>
                                      <a:sysClr val="windowText" lastClr="000000"/>
                                    </a:solidFill>
                                    <a:effectLst/>
                                    <a:latin typeface="Cambria Math" panose="02040503050406030204" pitchFamily="18" charset="0"/>
                                    <a:ea typeface="+mn-ea"/>
                                    <a:cs typeface="+mn-cs"/>
                                  </a:rPr>
                                  <m:t>𝑡</m:t>
                                </m:r>
                              </m:e>
                              <m:sub>
                                <m:r>
                                  <a:rPr lang="en-US" sz="1100" i="1">
                                    <a:solidFill>
                                      <a:sysClr val="windowText" lastClr="000000"/>
                                    </a:solidFill>
                                    <a:effectLst/>
                                    <a:latin typeface="Cambria Math" panose="02040503050406030204" pitchFamily="18" charset="0"/>
                                    <a:ea typeface="+mn-ea"/>
                                    <a:cs typeface="+mn-cs"/>
                                  </a:rPr>
                                  <m:t>%</m:t>
                                </m:r>
                                <m:r>
                                  <a:rPr lang="en-US" sz="1100" i="1">
                                    <a:solidFill>
                                      <a:sysClr val="windowText" lastClr="000000"/>
                                    </a:solidFill>
                                    <a:effectLst/>
                                    <a:latin typeface="Cambria Math" panose="02040503050406030204" pitchFamily="18" charset="0"/>
                                    <a:ea typeface="+mn-ea"/>
                                    <a:cs typeface="+mn-cs"/>
                                  </a:rPr>
                                  <m:t>𝑅𝐼𝐹</m:t>
                                </m:r>
                                <m:r>
                                  <a:rPr lang="en-US" sz="1100" i="1">
                                    <a:solidFill>
                                      <a:sysClr val="windowText" lastClr="000000"/>
                                    </a:solidFill>
                                    <a:effectLst/>
                                    <a:latin typeface="Cambria Math" panose="02040503050406030204" pitchFamily="18" charset="0"/>
                                    <a:ea typeface="+mn-ea"/>
                                    <a:cs typeface="+mn-cs"/>
                                  </a:rPr>
                                  <m:t>,</m:t>
                                </m:r>
                                <m:r>
                                  <a:rPr lang="en-US" sz="1100" i="1">
                                    <a:solidFill>
                                      <a:sysClr val="windowText" lastClr="000000"/>
                                    </a:solidFill>
                                    <a:effectLst/>
                                    <a:latin typeface="Cambria Math" panose="02040503050406030204" pitchFamily="18" charset="0"/>
                                    <a:ea typeface="+mn-ea"/>
                                    <a:cs typeface="+mn-cs"/>
                                  </a:rPr>
                                  <m:t>𝑇𝑟𝑎𝑛𝑐h𝑒</m:t>
                                </m:r>
                              </m:sub>
                            </m:sSub>
                          </m:e>
                        </m:d>
                      </m:e>
                    </m:func>
                  </m:oMath>
                </m:oMathPara>
              </a14:m>
              <a:endParaRPr lang="en-US" sz="1100">
                <a:solidFill>
                  <a:sysClr val="windowText" lastClr="000000"/>
                </a:solidFill>
                <a:effectLst/>
                <a:latin typeface="+mn-lt"/>
                <a:ea typeface="+mn-ea"/>
                <a:cs typeface="+mn-cs"/>
              </a:endParaRPr>
            </a:p>
          </xdr:txBody>
        </xdr:sp>
      </mc:Choice>
      <mc:Fallback xmlns="">
        <xdr:sp macro="" textlink="">
          <xdr:nvSpPr>
            <xdr:cNvPr id="17" name="TextBox 16">
              <a:extLst>
                <a:ext uri="{FF2B5EF4-FFF2-40B4-BE49-F238E27FC236}">
                  <a16:creationId xmlns:a16="http://schemas.microsoft.com/office/drawing/2014/main" id="{9E2BAD6A-DE31-4ACA-B840-4739DD860AE7}"/>
                </a:ext>
              </a:extLst>
            </xdr:cNvPr>
            <xdr:cNvSpPr txBox="1"/>
          </xdr:nvSpPr>
          <xdr:spPr>
            <a:xfrm>
              <a:off x="4425453" y="41583535"/>
              <a:ext cx="3929217"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ysClr val="windowText" lastClr="000000"/>
                  </a:solidFill>
                  <a:effectLst/>
                  <a:latin typeface="Cambria Math" panose="02040503050406030204" pitchFamily="18" charset="0"/>
                  <a:ea typeface="+mn-ea"/>
                  <a:cs typeface="+mn-cs"/>
                </a:rPr>
                <a:t>𝑆𝑅𝐼𝐹_(%,𝑇𝑟𝑎𝑛𝑐ℎ𝑒)=〖</a:t>
              </a:r>
              <a:r>
                <a:rPr lang="en-US" sz="1100" b="0" i="0">
                  <a:solidFill>
                    <a:sysClr val="windowText" lastClr="000000"/>
                  </a:solidFill>
                  <a:effectLst/>
                  <a:latin typeface="Cambria Math" panose="02040503050406030204" pitchFamily="18" charset="0"/>
                  <a:ea typeface="+mn-ea"/>
                  <a:cs typeface="+mn-cs"/>
                </a:rPr>
                <a:t>100%−</a:t>
              </a:r>
              <a:r>
                <a:rPr lang="en-US" sz="1100" i="0">
                  <a:solidFill>
                    <a:sysClr val="windowText" lastClr="000000"/>
                  </a:solidFill>
                  <a:effectLst/>
                  <a:latin typeface="Cambria Math" panose="02040503050406030204" pitchFamily="18" charset="0"/>
                  <a:ea typeface="+mn-ea"/>
                  <a:cs typeface="+mn-cs"/>
                </a:rPr>
                <a:t>𝑚𝑎𝑥〗⁡(𝑆𝐿𝑆_(%,𝑇𝑟𝑎𝑛𝑐ℎ𝑒), 𝐶𝑜𝑙𝑙𝑎𝑡_(%𝑅𝐼𝐹,𝑇𝑟𝑎𝑛𝑐ℎ𝑒) )</a:t>
              </a:r>
              <a:endParaRPr lang="en-US" sz="1100">
                <a:solidFill>
                  <a:sysClr val="windowText" lastClr="000000"/>
                </a:solidFill>
                <a:effectLst/>
                <a:latin typeface="+mn-lt"/>
                <a:ea typeface="+mn-ea"/>
                <a:cs typeface="+mn-cs"/>
              </a:endParaRPr>
            </a:p>
          </xdr:txBody>
        </xdr:sp>
      </mc:Fallback>
    </mc:AlternateContent>
    <xdr:clientData/>
  </xdr:oneCellAnchor>
  <xdr:oneCellAnchor>
    <xdr:from>
      <xdr:col>5</xdr:col>
      <xdr:colOff>419846</xdr:colOff>
      <xdr:row>126</xdr:row>
      <xdr:rowOff>180788</xdr:rowOff>
    </xdr:from>
    <xdr:ext cx="2526140" cy="191078"/>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7098552" y="44556082"/>
              <a:ext cx="2526140"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𝑆𝐿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d>
                    <m:r>
                      <a:rPr lang="en-US" sz="1100" i="1">
                        <a:solidFill>
                          <a:schemeClr val="tx1"/>
                        </a:solidFill>
                        <a:effectLst/>
                        <a:latin typeface="Cambria Math" panose="02040503050406030204" pitchFamily="18" charset="0"/>
                        <a:ea typeface="+mn-ea"/>
                        <a:cs typeface="+mn-cs"/>
                      </a:rPr>
                      <m:t>&gt;0 </m:t>
                    </m:r>
                    <m:r>
                      <a:rPr lang="en-US" sz="1100" i="1">
                        <a:solidFill>
                          <a:schemeClr val="tx1"/>
                        </a:solidFill>
                        <a:effectLst/>
                        <a:latin typeface="Cambria Math" panose="02040503050406030204" pitchFamily="18" charset="0"/>
                        <a:ea typeface="+mn-ea"/>
                        <a:cs typeface="+mn-cs"/>
                      </a:rPr>
                      <m:t>𝑡h𝑒𝑛</m:t>
                    </m:r>
                  </m:oMath>
                </m:oMathPara>
              </a14:m>
              <a:endParaRPr lang="en-US" sz="1100">
                <a:solidFill>
                  <a:schemeClr val="tx1"/>
                </a:solidFill>
                <a:effectLst/>
                <a:latin typeface="+mn-lt"/>
                <a:ea typeface="+mn-ea"/>
                <a:cs typeface="+mn-cs"/>
              </a:endParaRPr>
            </a:p>
          </xdr:txBody>
        </xdr:sp>
      </mc:Choice>
      <mc:Fallback xmlns="">
        <xdr:sp macro="" textlink="">
          <xdr:nvSpPr>
            <xdr:cNvPr id="18" name="TextBox 17">
              <a:extLst>
                <a:ext uri="{FF2B5EF4-FFF2-40B4-BE49-F238E27FC236}">
                  <a16:creationId xmlns:a16="http://schemas.microsoft.com/office/drawing/2014/main" id="{010533C3-1919-4121-A24F-E63A3FA20241}"/>
                </a:ext>
              </a:extLst>
            </xdr:cNvPr>
            <xdr:cNvSpPr txBox="1"/>
          </xdr:nvSpPr>
          <xdr:spPr>
            <a:xfrm>
              <a:off x="7098552" y="44556082"/>
              <a:ext cx="2526140"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𝑖𝑓 (𝑆𝐿𝑆_(%,𝑇𝑟𝑎𝑛𝑐ℎ𝑒)−𝐸𝐿𝑆_(%,𝑇𝑟𝑎𝑛𝑐ℎ𝑒) )&gt;0 𝑡ℎ𝑒𝑛</a:t>
              </a:r>
              <a:endParaRPr lang="en-US" sz="1100">
                <a:solidFill>
                  <a:schemeClr val="tx1"/>
                </a:solidFill>
                <a:effectLst/>
                <a:latin typeface="+mn-lt"/>
                <a:ea typeface="+mn-ea"/>
                <a:cs typeface="+mn-cs"/>
              </a:endParaRPr>
            </a:p>
          </xdr:txBody>
        </xdr:sp>
      </mc:Fallback>
    </mc:AlternateContent>
    <xdr:clientData/>
  </xdr:oneCellAnchor>
  <xdr:oneCellAnchor>
    <xdr:from>
      <xdr:col>5</xdr:col>
      <xdr:colOff>385483</xdr:colOff>
      <xdr:row>127</xdr:row>
      <xdr:rowOff>221129</xdr:rowOff>
    </xdr:from>
    <xdr:ext cx="5155129" cy="526811"/>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7064189" y="44895247"/>
              <a:ext cx="5155129" cy="52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100%∗</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max</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0,</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min</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1, </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𝐿𝑇</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e>
                                </m:func>
                              </m:e>
                            </m:d>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func>
                      </m:num>
                      <m:den>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𝑆𝐿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d>
                      </m:den>
                    </m:f>
                  </m:oMath>
                </m:oMathPara>
              </a14:m>
              <a:endParaRPr lang="en-US" sz="1100">
                <a:solidFill>
                  <a:schemeClr val="tx1"/>
                </a:solidFill>
                <a:effectLst/>
                <a:latin typeface="+mn-lt"/>
                <a:ea typeface="+mn-ea"/>
                <a:cs typeface="+mn-cs"/>
              </a:endParaRPr>
            </a:p>
          </xdr:txBody>
        </xdr:sp>
      </mc:Choice>
      <mc:Fallback xmlns="">
        <xdr:sp macro="" textlink="">
          <xdr:nvSpPr>
            <xdr:cNvPr id="19" name="TextBox 18">
              <a:extLst>
                <a:ext uri="{FF2B5EF4-FFF2-40B4-BE49-F238E27FC236}">
                  <a16:creationId xmlns:a16="http://schemas.microsoft.com/office/drawing/2014/main" id="{1E5AF889-636C-4136-A04F-D10145B3BF35}"/>
                </a:ext>
              </a:extLst>
            </xdr:cNvPr>
            <xdr:cNvSpPr txBox="1"/>
          </xdr:nvSpPr>
          <xdr:spPr>
            <a:xfrm>
              <a:off x="7064189" y="44895247"/>
              <a:ext cx="5155129" cy="52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𝐿𝑇𝐸𝐴_(%,𝑇𝑟𝑎𝑛𝑐ℎ𝑒,𝐶𝑀)=(100%∗max⁡〖(0,min⁡(1, (𝐿𝑇𝐾_(𝐴,𝐶𝑀)+𝐴𝑔𝑔𝐸𝐿_%−𝐴)/(𝐷−𝐴)) )−𝐸𝐿𝑆_(%,𝑇𝑟𝑎𝑛𝑐ℎ𝑒) 〗)/((𝑆𝐿𝑆_(%,𝑇𝑟𝑎𝑛𝑐ℎ𝑒)−𝐸𝐿𝑆_(%,𝑇𝑟𝑎𝑛𝑐ℎ𝑒) ) )</a:t>
              </a:r>
              <a:endParaRPr lang="en-US" sz="1100">
                <a:solidFill>
                  <a:schemeClr val="tx1"/>
                </a:solidFill>
                <a:effectLst/>
                <a:latin typeface="+mn-lt"/>
                <a:ea typeface="+mn-ea"/>
                <a:cs typeface="+mn-cs"/>
              </a:endParaRPr>
            </a:p>
          </xdr:txBody>
        </xdr:sp>
      </mc:Fallback>
    </mc:AlternateContent>
    <xdr:clientData/>
  </xdr:oneCellAnchor>
  <xdr:oneCellAnchor>
    <xdr:from>
      <xdr:col>5</xdr:col>
      <xdr:colOff>425824</xdr:colOff>
      <xdr:row>123</xdr:row>
      <xdr:rowOff>268941</xdr:rowOff>
    </xdr:from>
    <xdr:ext cx="3600536" cy="253339"/>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7104530" y="44696529"/>
              <a:ext cx="3600536" cy="253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𝐿𝑇</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max</m:t>
                        </m:r>
                      </m:fName>
                      <m:e>
                        <m:d>
                          <m:dPr>
                            <m:ctrlPr>
                              <a:rPr lang="en-US" sz="1100" i="1">
                                <a:solidFill>
                                  <a:schemeClr val="tx1"/>
                                </a:solidFill>
                                <a:effectLst/>
                                <a:latin typeface="Cambria Math" panose="02040503050406030204" pitchFamily="18" charset="0"/>
                                <a:ea typeface="+mn-ea"/>
                                <a:cs typeface="+mn-cs"/>
                              </a:rPr>
                            </m:ctrlPr>
                          </m:dPr>
                          <m:e>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e>
                            </m:d>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𝐿𝑇𝐹</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,0%</m:t>
                            </m:r>
                          </m:e>
                        </m:d>
                      </m:e>
                    </m:func>
                  </m:oMath>
                </m:oMathPara>
              </a14:m>
              <a:endParaRPr lang="en-US" sz="1100">
                <a:solidFill>
                  <a:schemeClr val="tx1"/>
                </a:solidFill>
                <a:effectLst/>
                <a:latin typeface="+mn-lt"/>
                <a:ea typeface="+mn-ea"/>
                <a:cs typeface="+mn-cs"/>
              </a:endParaRPr>
            </a:p>
          </xdr:txBody>
        </xdr:sp>
      </mc:Choice>
      <mc:Fallback xmlns="">
        <xdr:sp macro="" textlink="">
          <xdr:nvSpPr>
            <xdr:cNvPr id="20" name="TextBox 19">
              <a:extLst>
                <a:ext uri="{FF2B5EF4-FFF2-40B4-BE49-F238E27FC236}">
                  <a16:creationId xmlns:a16="http://schemas.microsoft.com/office/drawing/2014/main" id="{8E5FB339-0F09-4EC2-807A-C1C1BE57BCBF}"/>
                </a:ext>
              </a:extLst>
            </xdr:cNvPr>
            <xdr:cNvSpPr txBox="1"/>
          </xdr:nvSpPr>
          <xdr:spPr>
            <a:xfrm>
              <a:off x="7104530" y="44696529"/>
              <a:ext cx="3600536" cy="253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𝐿𝑇𝐾_(𝐴,𝐿𝑆)=max⁡((𝐾_𝐴+𝐴𝑔𝑔𝐸𝐿_% )∗〖𝐿𝑇𝐹〗_(%,𝐿𝑆)−𝐴𝑔𝑔𝐸𝐿_%,0%)</a:t>
              </a:r>
              <a:endParaRPr lang="en-US" sz="1100">
                <a:solidFill>
                  <a:schemeClr val="tx1"/>
                </a:solidFill>
                <a:effectLst/>
                <a:latin typeface="+mn-lt"/>
                <a:ea typeface="+mn-ea"/>
                <a:cs typeface="+mn-cs"/>
              </a:endParaRPr>
            </a:p>
          </xdr:txBody>
        </xdr:sp>
      </mc:Fallback>
    </mc:AlternateContent>
    <xdr:clientData/>
  </xdr:oneCellAnchor>
  <xdr:oneCellAnchor>
    <xdr:from>
      <xdr:col>5</xdr:col>
      <xdr:colOff>391459</xdr:colOff>
      <xdr:row>120</xdr:row>
      <xdr:rowOff>396917</xdr:rowOff>
    </xdr:from>
    <xdr:ext cx="2366545" cy="380361"/>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4577574" y="44588032"/>
              <a:ext cx="236654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𝑇𝐹</m:t>
                        </m:r>
                      </m:e>
                      <m:sub>
                        <m:r>
                          <a:rPr lang="en-US" sz="110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𝑀</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𝑠</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𝐶𝑀</m:t>
                                </m:r>
                              </m:sub>
                            </m:sSub>
                          </m:num>
                          <m:den>
                            <m:r>
                              <a:rPr lang="en-US" sz="1100" i="1">
                                <a:solidFill>
                                  <a:schemeClr val="tx1"/>
                                </a:solidFill>
                                <a:effectLst/>
                                <a:latin typeface="Cambria Math" panose="02040503050406030204" pitchFamily="18" charset="0"/>
                                <a:ea typeface="+mn-ea"/>
                                <a:cs typeface="+mn-cs"/>
                              </a:rPr>
                              <m:t>100%−</m:t>
                            </m:r>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𝑠</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𝐶𝑀</m:t>
                                </m:r>
                              </m:sub>
                            </m:sSub>
                          </m:den>
                        </m:f>
                      </m:e>
                    </m:d>
                  </m:oMath>
                </m:oMathPara>
              </a14:m>
              <a:endParaRPr lang="en-US" sz="1100">
                <a:solidFill>
                  <a:schemeClr val="tx1"/>
                </a:solidFill>
                <a:effectLst/>
                <a:latin typeface="+mn-lt"/>
                <a:ea typeface="+mn-ea"/>
                <a:cs typeface="+mn-cs"/>
              </a:endParaRPr>
            </a:p>
          </xdr:txBody>
        </xdr:sp>
      </mc:Choice>
      <mc:Fallback xmlns="">
        <xdr:sp macro="" textlink="">
          <xdr:nvSpPr>
            <xdr:cNvPr id="21" name="TextBox 20">
              <a:extLst>
                <a:ext uri="{FF2B5EF4-FFF2-40B4-BE49-F238E27FC236}">
                  <a16:creationId xmlns:a16="http://schemas.microsoft.com/office/drawing/2014/main" id="{6BB5D2BA-D857-43FD-93D5-5870E4FF1DF2}"/>
                </a:ext>
              </a:extLst>
            </xdr:cNvPr>
            <xdr:cNvSpPr txBox="1"/>
          </xdr:nvSpPr>
          <xdr:spPr>
            <a:xfrm>
              <a:off x="4577574" y="44588032"/>
              <a:ext cx="236654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𝐿〖𝑇𝐹〗_(%</a:t>
              </a:r>
              <a:r>
                <a:rPr lang="en-US" sz="1100" b="0" i="0">
                  <a:solidFill>
                    <a:schemeClr val="tx1"/>
                  </a:solidFill>
                  <a:effectLst/>
                  <a:latin typeface="Cambria Math" panose="02040503050406030204" pitchFamily="18" charset="0"/>
                  <a:ea typeface="+mn-ea"/>
                  <a:cs typeface="+mn-cs"/>
                </a:rPr>
                <a:t>,𝐶𝑀)</a:t>
              </a:r>
              <a:r>
                <a:rPr lang="en-US" sz="1100" i="0">
                  <a:solidFill>
                    <a:schemeClr val="tx1"/>
                  </a:solidFill>
                  <a:effectLst/>
                  <a:latin typeface="Cambria Math" panose="02040503050406030204" pitchFamily="18" charset="0"/>
                  <a:ea typeface="+mn-ea"/>
                  <a:cs typeface="+mn-cs"/>
                </a:rPr>
                <a:t>=((𝐶𝑅𝑇𝐿𝑇_(𝑀</a:t>
              </a:r>
              <a:r>
                <a:rPr lang="en-US" sz="1100" b="0" i="0">
                  <a:solidFill>
                    <a:schemeClr val="tx1"/>
                  </a:solidFill>
                  <a:effectLst/>
                  <a:latin typeface="Cambria Math" panose="02040503050406030204" pitchFamily="18" charset="0"/>
                  <a:ea typeface="+mn-ea"/>
                  <a:cs typeface="+mn-cs"/>
                </a:rPr>
                <a:t>,𝐶𝑀)</a:t>
              </a:r>
              <a:r>
                <a:rPr lang="en-US" sz="1100" i="0">
                  <a:solidFill>
                    <a:schemeClr val="tx1"/>
                  </a:solidFill>
                  <a:effectLst/>
                  <a:latin typeface="Cambria Math" panose="02040503050406030204" pitchFamily="18" charset="0"/>
                  <a:ea typeface="+mn-ea"/>
                  <a:cs typeface="+mn-cs"/>
                </a:rPr>
                <a:t>−𝐶𝑅𝑇𝐿𝑇_(𝑠</a:t>
              </a:r>
              <a:r>
                <a:rPr lang="en-US" sz="1100" b="0" i="0">
                  <a:solidFill>
                    <a:schemeClr val="tx1"/>
                  </a:solidFill>
                  <a:effectLst/>
                  <a:latin typeface="Cambria Math" panose="02040503050406030204" pitchFamily="18" charset="0"/>
                  <a:ea typeface="+mn-ea"/>
                  <a:cs typeface="+mn-cs"/>
                </a:rPr>
                <a:t>,𝐶𝑀))/(</a:t>
              </a:r>
              <a:r>
                <a:rPr lang="en-US" sz="1100" i="0">
                  <a:solidFill>
                    <a:schemeClr val="tx1"/>
                  </a:solidFill>
                  <a:effectLst/>
                  <a:latin typeface="Cambria Math" panose="02040503050406030204" pitchFamily="18" charset="0"/>
                  <a:ea typeface="+mn-ea"/>
                  <a:cs typeface="+mn-cs"/>
                </a:rPr>
                <a:t>100%−𝐶𝑅𝑇𝐿𝑇_(𝑠</a:t>
              </a:r>
              <a:r>
                <a:rPr lang="en-US" sz="1100" b="0" i="0">
                  <a:solidFill>
                    <a:schemeClr val="tx1"/>
                  </a:solidFill>
                  <a:effectLst/>
                  <a:latin typeface="Cambria Math" panose="02040503050406030204" pitchFamily="18" charset="0"/>
                  <a:ea typeface="+mn-ea"/>
                  <a:cs typeface="+mn-cs"/>
                </a:rPr>
                <a:t>,𝐶𝑀) ))</a:t>
              </a:r>
              <a:endParaRPr lang="en-US" sz="1100">
                <a:solidFill>
                  <a:schemeClr val="tx1"/>
                </a:solidFill>
                <a:effectLst/>
                <a:latin typeface="+mn-lt"/>
                <a:ea typeface="+mn-ea"/>
                <a:cs typeface="+mn-cs"/>
              </a:endParaRPr>
            </a:p>
          </xdr:txBody>
        </xdr:sp>
      </mc:Fallback>
    </mc:AlternateContent>
    <xdr:clientData/>
  </xdr:oneCellAnchor>
  <xdr:oneCellAnchor>
    <xdr:from>
      <xdr:col>5</xdr:col>
      <xdr:colOff>231588</xdr:colOff>
      <xdr:row>117</xdr:row>
      <xdr:rowOff>149411</xdr:rowOff>
    </xdr:from>
    <xdr:ext cx="1076064" cy="172227"/>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6910294" y="42059411"/>
              <a:ext cx="107606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𝑂𝑡h𝑒𝑟𝑤𝑖𝑠𝑒</m:t>
                    </m:r>
                    <m:r>
                      <a:rPr lang="en-US" sz="1100" b="0" i="1">
                        <a:solidFill>
                          <a:schemeClr val="tx1"/>
                        </a:solidFill>
                        <a:effectLst/>
                        <a:latin typeface="Cambria Math" panose="02040503050406030204" pitchFamily="18" charset="0"/>
                        <a:ea typeface="+mn-ea"/>
                        <a:cs typeface="+mn-cs"/>
                      </a:rPr>
                      <m:t> 100%</m:t>
                    </m:r>
                  </m:oMath>
                </m:oMathPara>
              </a14:m>
              <a:endParaRPr lang="en-US" sz="1100">
                <a:solidFill>
                  <a:schemeClr val="tx1"/>
                </a:solidFill>
                <a:effectLst/>
                <a:latin typeface="+mn-lt"/>
                <a:ea typeface="+mn-ea"/>
                <a:cs typeface="+mn-cs"/>
              </a:endParaRPr>
            </a:p>
          </xdr:txBody>
        </xdr:sp>
      </mc:Choice>
      <mc:Fallback xmlns="">
        <xdr:sp macro="" textlink="">
          <xdr:nvSpPr>
            <xdr:cNvPr id="22" name="TextBox 21">
              <a:extLst>
                <a:ext uri="{FF2B5EF4-FFF2-40B4-BE49-F238E27FC236}">
                  <a16:creationId xmlns:a16="http://schemas.microsoft.com/office/drawing/2014/main" id="{D2CB2DDF-C879-480F-B60A-93489741A163}"/>
                </a:ext>
              </a:extLst>
            </xdr:cNvPr>
            <xdr:cNvSpPr txBox="1"/>
          </xdr:nvSpPr>
          <xdr:spPr>
            <a:xfrm>
              <a:off x="6910294" y="42059411"/>
              <a:ext cx="107606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solidFill>
                    <a:schemeClr val="tx1"/>
                  </a:solidFill>
                  <a:effectLst/>
                  <a:latin typeface="Cambria Math" panose="02040503050406030204" pitchFamily="18" charset="0"/>
                  <a:ea typeface="+mn-ea"/>
                  <a:cs typeface="+mn-cs"/>
                </a:rPr>
                <a:t>𝑂𝑡ℎ𝑒𝑟𝑤𝑖𝑠𝑒 100%</a:t>
              </a:r>
              <a:endParaRPr lang="en-US" sz="1100">
                <a:solidFill>
                  <a:schemeClr val="tx1"/>
                </a:solidFill>
                <a:effectLst/>
                <a:latin typeface="+mn-lt"/>
                <a:ea typeface="+mn-ea"/>
                <a:cs typeface="+mn-cs"/>
              </a:endParaRPr>
            </a:p>
          </xdr:txBody>
        </xdr:sp>
      </mc:Fallback>
    </mc:AlternateContent>
    <xdr:clientData/>
  </xdr:oneCellAnchor>
  <xdr:oneCellAnchor>
    <xdr:from>
      <xdr:col>5</xdr:col>
      <xdr:colOff>209177</xdr:colOff>
      <xdr:row>130</xdr:row>
      <xdr:rowOff>186764</xdr:rowOff>
    </xdr:from>
    <xdr:ext cx="5395516" cy="699038"/>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6887883" y="46384882"/>
              <a:ext cx="5395516" cy="6990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100%∗</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max</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0,</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min</m:t>
                                    </m:r>
                                  </m:fName>
                                  <m:e>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1, </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𝐿𝑇</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e>
                                </m:func>
                              </m:e>
                            </m:d>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func>
                      </m:num>
                      <m:den>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𝑆𝐿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e>
                        </m:d>
                      </m:den>
                    </m:f>
                  </m:oMath>
                </m:oMathPara>
              </a14:m>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Choice>
      <mc:Fallback xmlns="">
        <xdr:sp macro="" textlink="">
          <xdr:nvSpPr>
            <xdr:cNvPr id="23" name="TextBox 22">
              <a:extLst>
                <a:ext uri="{FF2B5EF4-FFF2-40B4-BE49-F238E27FC236}">
                  <a16:creationId xmlns:a16="http://schemas.microsoft.com/office/drawing/2014/main" id="{A5D523A6-FE64-4D21-A6D0-FEF51DE4AFA1}"/>
                </a:ext>
              </a:extLst>
            </xdr:cNvPr>
            <xdr:cNvSpPr txBox="1"/>
          </xdr:nvSpPr>
          <xdr:spPr>
            <a:xfrm>
              <a:off x="6887883" y="46384882"/>
              <a:ext cx="5395516" cy="6990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𝐿𝑇𝐸𝐴_(%,𝑇𝑟𝑎𝑛𝑐ℎ𝑒,𝐿𝑆)=(100%∗max⁡〖(0,min⁡(1, (𝐿𝑇𝐾_(𝐴,𝐿𝑆)+𝐴𝑔𝑔𝐸𝐿_%−𝐴)/(𝐷−𝐴)) )−𝐸𝐿𝑆_(%,𝑇𝑟𝑎𝑛𝑐ℎ𝑒) 〗)/((𝑆𝐿𝑆_(%,𝑇𝑟𝑎𝑛𝑐ℎ𝑒)−𝐸𝐿𝑆_(%,𝑇𝑟𝑎𝑛𝑐ℎ𝑒) ) )</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Fallback>
    </mc:AlternateContent>
    <xdr:clientData/>
  </xdr:oneCellAnchor>
  <xdr:oneCellAnchor>
    <xdr:from>
      <xdr:col>5</xdr:col>
      <xdr:colOff>25400</xdr:colOff>
      <xdr:row>133</xdr:row>
      <xdr:rowOff>85164</xdr:rowOff>
    </xdr:from>
    <xdr:ext cx="4778188" cy="349198"/>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6704106" y="47097576"/>
              <a:ext cx="4778188" cy="349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𝑂𝑡h𝑒𝑟𝑤𝑖𝑠𝑒</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=100% </m:t>
                    </m:r>
                    <m:r>
                      <a:rPr lang="en-US" sz="1100" i="1">
                        <a:solidFill>
                          <a:schemeClr val="tx1"/>
                        </a:solidFill>
                        <a:effectLst/>
                        <a:latin typeface="Cambria Math" panose="02040503050406030204" pitchFamily="18" charset="0"/>
                        <a:ea typeface="+mn-ea"/>
                        <a:cs typeface="+mn-cs"/>
                      </a:rPr>
                      <m:t>𝑎𝑛𝑑</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=100%</m:t>
                    </m:r>
                  </m:oMath>
                </m:oMathPara>
              </a14:m>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Choice>
      <mc:Fallback xmlns="">
        <xdr:sp macro="" textlink="">
          <xdr:nvSpPr>
            <xdr:cNvPr id="24" name="TextBox 23">
              <a:extLst>
                <a:ext uri="{FF2B5EF4-FFF2-40B4-BE49-F238E27FC236}">
                  <a16:creationId xmlns:a16="http://schemas.microsoft.com/office/drawing/2014/main" id="{608A6583-DE7F-453A-8FE3-64FBC870A963}"/>
                </a:ext>
              </a:extLst>
            </xdr:cNvPr>
            <xdr:cNvSpPr txBox="1"/>
          </xdr:nvSpPr>
          <xdr:spPr>
            <a:xfrm>
              <a:off x="6704106" y="47097576"/>
              <a:ext cx="4778188" cy="349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𝑂𝑡ℎ𝑒𝑟𝑤𝑖𝑠𝑒 𝐿𝑇𝐸𝐴_(%,𝑇𝑟𝑎𝑛𝑐ℎ𝑒,𝐶𝑀)=100% 𝑎𝑛𝑑 𝐿𝑇𝐸𝐴_(%,𝑇𝑟𝑎𝑛𝑐ℎ𝑒,𝐿𝑆)=100%</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Fallback>
    </mc:AlternateContent>
    <xdr:clientData/>
  </xdr:oneCellAnchor>
  <xdr:oneCellAnchor>
    <xdr:from>
      <xdr:col>5</xdr:col>
      <xdr:colOff>349623</xdr:colOff>
      <xdr:row>122</xdr:row>
      <xdr:rowOff>237566</xdr:rowOff>
    </xdr:from>
    <xdr:ext cx="3678122" cy="253339"/>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7028329" y="44112331"/>
              <a:ext cx="3678122" cy="253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𝐿𝑇𝐾</m:t>
                        </m:r>
                      </m:e>
                      <m:sub>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func>
                      <m:funcPr>
                        <m:ctrlPr>
                          <a:rPr lang="en-US" sz="1100" i="1">
                            <a:solidFill>
                              <a:schemeClr val="tx1"/>
                            </a:solidFill>
                            <a:effectLst/>
                            <a:latin typeface="Cambria Math" panose="02040503050406030204" pitchFamily="18" charset="0"/>
                            <a:ea typeface="+mn-ea"/>
                            <a:cs typeface="+mn-cs"/>
                          </a:rPr>
                        </m:ctrlPr>
                      </m:funcPr>
                      <m:fName>
                        <m:r>
                          <m:rPr>
                            <m:sty m:val="p"/>
                          </m:rPr>
                          <a:rPr lang="en-US" sz="1100">
                            <a:solidFill>
                              <a:schemeClr val="tx1"/>
                            </a:solidFill>
                            <a:effectLst/>
                            <a:latin typeface="Cambria Math" panose="02040503050406030204" pitchFamily="18" charset="0"/>
                            <a:ea typeface="+mn-ea"/>
                            <a:cs typeface="+mn-cs"/>
                          </a:rPr>
                          <m:t>max</m:t>
                        </m:r>
                      </m:fName>
                      <m:e>
                        <m:d>
                          <m:dPr>
                            <m:ctrlPr>
                              <a:rPr lang="en-US" sz="1100" i="1">
                                <a:solidFill>
                                  <a:schemeClr val="tx1"/>
                                </a:solidFill>
                                <a:effectLst/>
                                <a:latin typeface="Cambria Math" panose="02040503050406030204" pitchFamily="18" charset="0"/>
                                <a:ea typeface="+mn-ea"/>
                                <a:cs typeface="+mn-cs"/>
                              </a:rPr>
                            </m:ctrlPr>
                          </m:dPr>
                          <m:e>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e>
                            </m:d>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𝐿𝑇𝐹</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,0%</m:t>
                            </m:r>
                          </m:e>
                        </m:d>
                      </m:e>
                    </m:func>
                  </m:oMath>
                </m:oMathPara>
              </a14:m>
              <a:endParaRPr lang="en-US" sz="1100">
                <a:solidFill>
                  <a:schemeClr val="tx1"/>
                </a:solidFill>
                <a:effectLst/>
                <a:latin typeface="+mn-lt"/>
                <a:ea typeface="+mn-ea"/>
                <a:cs typeface="+mn-cs"/>
              </a:endParaRPr>
            </a:p>
          </xdr:txBody>
        </xdr:sp>
      </mc:Choice>
      <mc:Fallback xmlns="">
        <xdr:sp macro="" textlink="">
          <xdr:nvSpPr>
            <xdr:cNvPr id="25" name="TextBox 24">
              <a:extLst>
                <a:ext uri="{FF2B5EF4-FFF2-40B4-BE49-F238E27FC236}">
                  <a16:creationId xmlns:a16="http://schemas.microsoft.com/office/drawing/2014/main" id="{D5B19FD7-ACBD-4E41-88F5-825FCFF97EBD}"/>
                </a:ext>
              </a:extLst>
            </xdr:cNvPr>
            <xdr:cNvSpPr txBox="1"/>
          </xdr:nvSpPr>
          <xdr:spPr>
            <a:xfrm>
              <a:off x="7028329" y="44112331"/>
              <a:ext cx="3678122" cy="2533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chemeClr val="tx1"/>
                  </a:solidFill>
                  <a:effectLst/>
                  <a:latin typeface="+mn-lt"/>
                  <a:ea typeface="+mn-ea"/>
                  <a:cs typeface="+mn-cs"/>
                </a:rPr>
                <a:t>〖𝐿𝑇𝐾〗_(𝐴,𝐶𝑀)=max⁡((𝐾_𝐴+𝐴𝑔𝑔𝐸𝐿_% )∗〖𝐿𝑇𝐹〗_(%,𝐶𝑀)−𝐴𝑔𝑔𝐸𝐿_%,0%)</a:t>
              </a:r>
              <a:endParaRPr lang="en-US" sz="1100">
                <a:solidFill>
                  <a:schemeClr val="tx1"/>
                </a:solidFill>
                <a:effectLst/>
                <a:latin typeface="+mn-lt"/>
                <a:ea typeface="+mn-ea"/>
                <a:cs typeface="+mn-cs"/>
              </a:endParaRPr>
            </a:p>
          </xdr:txBody>
        </xdr:sp>
      </mc:Fallback>
    </mc:AlternateContent>
    <xdr:clientData/>
  </xdr:oneCellAnchor>
  <xdr:oneCellAnchor>
    <xdr:from>
      <xdr:col>5</xdr:col>
      <xdr:colOff>3070412</xdr:colOff>
      <xdr:row>120</xdr:row>
      <xdr:rowOff>371518</xdr:rowOff>
    </xdr:from>
    <xdr:ext cx="2245551" cy="380361"/>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7256527" y="44562633"/>
              <a:ext cx="224555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𝑇𝐹</m:t>
                        </m:r>
                      </m:e>
                      <m:sub>
                        <m:r>
                          <a:rPr lang="en-US" sz="110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𝑀</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𝑠</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𝐿𝑆</m:t>
                                </m:r>
                              </m:sub>
                            </m:sSub>
                          </m:num>
                          <m:den>
                            <m:r>
                              <a:rPr lang="en-US" sz="1100" i="1">
                                <a:solidFill>
                                  <a:schemeClr val="tx1"/>
                                </a:solidFill>
                                <a:effectLst/>
                                <a:latin typeface="Cambria Math" panose="02040503050406030204" pitchFamily="18" charset="0"/>
                                <a:ea typeface="+mn-ea"/>
                                <a:cs typeface="+mn-cs"/>
                              </a:rPr>
                              <m:t>100%−</m:t>
                            </m:r>
                            <m:r>
                              <a:rPr lang="en-US" sz="1100" i="1">
                                <a:solidFill>
                                  <a:schemeClr val="tx1"/>
                                </a:solidFill>
                                <a:effectLst/>
                                <a:latin typeface="Cambria Math" panose="02040503050406030204" pitchFamily="18" charset="0"/>
                                <a:ea typeface="+mn-ea"/>
                                <a:cs typeface="+mn-cs"/>
                              </a:rPr>
                              <m:t>𝐶𝑅𝑇𝐿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𝑇</m:t>
                                </m:r>
                              </m:e>
                              <m:sub>
                                <m:r>
                                  <a:rPr lang="en-US" sz="1100" i="1">
                                    <a:solidFill>
                                      <a:schemeClr val="tx1"/>
                                    </a:solidFill>
                                    <a:effectLst/>
                                    <a:latin typeface="Cambria Math" panose="02040503050406030204" pitchFamily="18" charset="0"/>
                                    <a:ea typeface="+mn-ea"/>
                                    <a:cs typeface="+mn-cs"/>
                                  </a:rPr>
                                  <m:t>𝑠</m:t>
                                </m:r>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𝐿𝑆</m:t>
                                </m:r>
                              </m:sub>
                            </m:sSub>
                          </m:den>
                        </m:f>
                      </m:e>
                    </m:d>
                  </m:oMath>
                </m:oMathPara>
              </a14:m>
              <a:endParaRPr lang="en-US" sz="1100">
                <a:solidFill>
                  <a:schemeClr val="tx1"/>
                </a:solidFill>
                <a:effectLst/>
                <a:latin typeface="+mn-lt"/>
                <a:ea typeface="+mn-ea"/>
                <a:cs typeface="+mn-cs"/>
              </a:endParaRPr>
            </a:p>
          </xdr:txBody>
        </xdr:sp>
      </mc:Choice>
      <mc:Fallback xmlns="">
        <xdr:sp macro="" textlink="">
          <xdr:nvSpPr>
            <xdr:cNvPr id="26" name="TextBox 25">
              <a:extLst>
                <a:ext uri="{FF2B5EF4-FFF2-40B4-BE49-F238E27FC236}">
                  <a16:creationId xmlns:a16="http://schemas.microsoft.com/office/drawing/2014/main" id="{F70895D4-3795-4E28-B824-4AC0CAFCC52B}"/>
                </a:ext>
              </a:extLst>
            </xdr:cNvPr>
            <xdr:cNvSpPr txBox="1"/>
          </xdr:nvSpPr>
          <xdr:spPr>
            <a:xfrm>
              <a:off x="7256527" y="44562633"/>
              <a:ext cx="2245551"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𝐿〖𝑇𝐹〗_(%</a:t>
              </a:r>
              <a:r>
                <a:rPr lang="en-US" sz="1100" b="0" i="0">
                  <a:solidFill>
                    <a:schemeClr val="tx1"/>
                  </a:solidFill>
                  <a:effectLst/>
                  <a:latin typeface="Cambria Math" panose="02040503050406030204" pitchFamily="18" charset="0"/>
                  <a:ea typeface="+mn-ea"/>
                  <a:cs typeface="+mn-cs"/>
                </a:rPr>
                <a:t>,𝐿𝑆)</a:t>
              </a:r>
              <a:r>
                <a:rPr lang="en-US" sz="1100" i="0">
                  <a:solidFill>
                    <a:schemeClr val="tx1"/>
                  </a:solidFill>
                  <a:effectLst/>
                  <a:latin typeface="Cambria Math" panose="02040503050406030204" pitchFamily="18" charset="0"/>
                  <a:ea typeface="+mn-ea"/>
                  <a:cs typeface="+mn-cs"/>
                </a:rPr>
                <a:t>=((𝐶𝑅𝑇𝐿𝑇_(𝑀</a:t>
              </a:r>
              <a:r>
                <a:rPr lang="en-US" sz="1100" b="0" i="0">
                  <a:solidFill>
                    <a:schemeClr val="tx1"/>
                  </a:solidFill>
                  <a:effectLst/>
                  <a:latin typeface="Cambria Math" panose="02040503050406030204" pitchFamily="18" charset="0"/>
                  <a:ea typeface="+mn-ea"/>
                  <a:cs typeface="+mn-cs"/>
                </a:rPr>
                <a:t>,𝐿𝑆)</a:t>
              </a:r>
              <a:r>
                <a:rPr lang="en-US" sz="1100" i="0">
                  <a:solidFill>
                    <a:schemeClr val="tx1"/>
                  </a:solidFill>
                  <a:effectLst/>
                  <a:latin typeface="Cambria Math" panose="02040503050406030204" pitchFamily="18" charset="0"/>
                  <a:ea typeface="+mn-ea"/>
                  <a:cs typeface="+mn-cs"/>
                </a:rPr>
                <a:t>−𝐶𝑅𝑇𝐿𝑇_(𝑠</a:t>
              </a:r>
              <a:r>
                <a:rPr lang="en-US" sz="1100" b="0" i="0">
                  <a:solidFill>
                    <a:schemeClr val="tx1"/>
                  </a:solidFill>
                  <a:effectLst/>
                  <a:latin typeface="Cambria Math" panose="02040503050406030204" pitchFamily="18" charset="0"/>
                  <a:ea typeface="+mn-ea"/>
                  <a:cs typeface="+mn-cs"/>
                </a:rPr>
                <a:t>,𝐿𝑆))/(</a:t>
              </a:r>
              <a:r>
                <a:rPr lang="en-US" sz="1100" i="0">
                  <a:solidFill>
                    <a:schemeClr val="tx1"/>
                  </a:solidFill>
                  <a:effectLst/>
                  <a:latin typeface="Cambria Math" panose="02040503050406030204" pitchFamily="18" charset="0"/>
                  <a:ea typeface="+mn-ea"/>
                  <a:cs typeface="+mn-cs"/>
                </a:rPr>
                <a:t>100%−𝐶𝑅𝑇𝐿𝑇_(𝑠</a:t>
              </a:r>
              <a:r>
                <a:rPr lang="en-US" sz="1100" b="0" i="0">
                  <a:solidFill>
                    <a:schemeClr val="tx1"/>
                  </a:solidFill>
                  <a:effectLst/>
                  <a:latin typeface="Cambria Math" panose="02040503050406030204" pitchFamily="18" charset="0"/>
                  <a:ea typeface="+mn-ea"/>
                  <a:cs typeface="+mn-cs"/>
                </a:rPr>
                <a:t>,𝐿𝑆) ))</a:t>
              </a:r>
              <a:endParaRPr lang="en-US" sz="1100">
                <a:solidFill>
                  <a:schemeClr val="tx1"/>
                </a:solidFill>
                <a:effectLst/>
                <a:latin typeface="+mn-lt"/>
                <a:ea typeface="+mn-ea"/>
                <a:cs typeface="+mn-cs"/>
              </a:endParaRPr>
            </a:p>
          </xdr:txBody>
        </xdr:sp>
      </mc:Fallback>
    </mc:AlternateContent>
    <xdr:clientData/>
  </xdr:oneCellAnchor>
  <xdr:oneCellAnchor>
    <xdr:from>
      <xdr:col>5</xdr:col>
      <xdr:colOff>38731</xdr:colOff>
      <xdr:row>143</xdr:row>
      <xdr:rowOff>60078</xdr:rowOff>
    </xdr:from>
    <xdr:ext cx="8902069" cy="367729"/>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6407781" y="51222028"/>
              <a:ext cx="8902069" cy="367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2020 </m:t>
                    </m:r>
                    <m:r>
                      <a:rPr lang="en-US" sz="1100" b="0" i="1">
                        <a:solidFill>
                          <a:schemeClr val="tx1"/>
                        </a:solidFill>
                        <a:effectLst/>
                        <a:latin typeface="Cambria Math" panose="02040503050406030204" pitchFamily="18" charset="0"/>
                        <a:ea typeface="+mn-ea"/>
                        <a:cs typeface="+mn-cs"/>
                      </a:rPr>
                      <m:t>𝐸𝑅𝐶𝐹</m:t>
                    </m:r>
                    <m:r>
                      <a:rPr lang="en-US" sz="1100" b="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𝐸𝐴</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𝐸</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=100%−</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𝐶</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𝑀</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r>
                          <a:rPr lang="en-US" sz="110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2020 </m:t>
                        </m:r>
                        <m:r>
                          <a:rPr lang="en-US" sz="1100" b="0" i="1">
                            <a:solidFill>
                              <a:schemeClr val="tx1"/>
                            </a:solidFill>
                            <a:effectLst/>
                            <a:latin typeface="Cambria Math" panose="02040503050406030204" pitchFamily="18" charset="0"/>
                            <a:ea typeface="+mn-ea"/>
                            <a:cs typeface="+mn-cs"/>
                          </a:rPr>
                          <m:t>𝐸𝑅𝐶𝐹</m:t>
                        </m:r>
                        <m:r>
                          <a:rPr lang="en-US" sz="1100" b="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𝑂𝐸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sub>
                        </m:sSub>
                      </m:e>
                    </m:d>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r>
                          <a:rPr lang="en-US" sz="110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2020 </m:t>
                        </m:r>
                        <m:r>
                          <a:rPr lang="en-US" sz="1100" b="0" i="1">
                            <a:solidFill>
                              <a:schemeClr val="tx1"/>
                            </a:solidFill>
                            <a:effectLst/>
                            <a:latin typeface="Cambria Math" panose="02040503050406030204" pitchFamily="18" charset="0"/>
                            <a:ea typeface="+mn-ea"/>
                            <a:cs typeface="+mn-cs"/>
                          </a:rPr>
                          <m:t>𝐸𝑅𝐶𝐹</m:t>
                        </m:r>
                        <m:r>
                          <a:rPr lang="en-US" sz="1100" b="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𝑂𝐸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sub>
                        </m:sSub>
                      </m:e>
                    </m:d>
                  </m:oMath>
                </m:oMathPara>
              </a14:m>
              <a:endParaRPr lang="en-US" sz="1100">
                <a:solidFill>
                  <a:schemeClr val="tx1"/>
                </a:solidFill>
                <a:effectLst/>
                <a:latin typeface="+mn-lt"/>
                <a:ea typeface="+mn-ea"/>
                <a:cs typeface="+mn-cs"/>
              </a:endParaRPr>
            </a:p>
          </xdr:txBody>
        </xdr:sp>
      </mc:Choice>
      <mc:Fallback xmlns="">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6407781" y="51222028"/>
              <a:ext cx="8902069" cy="3677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2020 𝐸𝑅𝐶𝐹 </a:t>
              </a:r>
              <a:r>
                <a:rPr lang="en-US" sz="1100" i="0">
                  <a:solidFill>
                    <a:schemeClr val="tx1"/>
                  </a:solidFill>
                  <a:effectLst/>
                  <a:latin typeface="Cambria Math" panose="02040503050406030204" pitchFamily="18" charset="0"/>
                  <a:ea typeface="+mn-ea"/>
                  <a:cs typeface="+mn-cs"/>
                </a:rPr>
                <a:t>𝐸𝐴𝐸_(%,𝑇𝑟𝑎𝑛𝑐ℎ𝑒)=100%−(𝐶𝑀_(%,𝑇𝑟𝑎𝑛𝑐ℎ𝑒)∗𝐿𝑇𝐸𝐴_(%,𝑇𝑟𝑎𝑛𝑐ℎ𝑒,𝐶𝑀)∗</a:t>
              </a:r>
              <a:r>
                <a:rPr lang="en-US" sz="1100" b="0" i="0">
                  <a:solidFill>
                    <a:schemeClr val="tx1"/>
                  </a:solidFill>
                  <a:effectLst/>
                  <a:latin typeface="Cambria Math" panose="02040503050406030204" pitchFamily="18" charset="0"/>
                  <a:ea typeface="+mn-ea"/>
                  <a:cs typeface="+mn-cs"/>
                </a:rPr>
                <a:t>2020 𝐸𝑅𝐶𝐹 </a:t>
              </a:r>
              <a:r>
                <a:rPr lang="en-US" sz="1100" i="0">
                  <a:solidFill>
                    <a:schemeClr val="tx1"/>
                  </a:solidFill>
                  <a:effectLst/>
                  <a:latin typeface="Cambria Math" panose="02040503050406030204" pitchFamily="18" charset="0"/>
                  <a:ea typeface="+mn-ea"/>
                  <a:cs typeface="+mn-cs"/>
                </a:rPr>
                <a:t>𝑂𝐸𝐴_% )−(𝐿𝑆_(%,𝑇𝑟𝑎𝑛𝑐ℎ𝑒)∗𝐿𝑆𝐸𝐴_(%,𝑇𝑟𝑎𝑛𝑐ℎ𝑒)∗𝐿𝑇𝐸𝐴_(%,𝑇𝑟𝑎𝑛𝑐ℎ𝑒,𝐿𝑆)∗</a:t>
              </a:r>
              <a:r>
                <a:rPr lang="en-US" sz="1100" b="0" i="0">
                  <a:solidFill>
                    <a:schemeClr val="tx1"/>
                  </a:solidFill>
                  <a:effectLst/>
                  <a:latin typeface="Cambria Math" panose="02040503050406030204" pitchFamily="18" charset="0"/>
                  <a:ea typeface="+mn-ea"/>
                  <a:cs typeface="+mn-cs"/>
                </a:rPr>
                <a:t>2020 𝐸𝑅𝐶𝐹 </a:t>
              </a:r>
              <a:r>
                <a:rPr lang="en-US" sz="1100" i="0">
                  <a:solidFill>
                    <a:schemeClr val="tx1"/>
                  </a:solidFill>
                  <a:effectLst/>
                  <a:latin typeface="Cambria Math" panose="02040503050406030204" pitchFamily="18" charset="0"/>
                  <a:ea typeface="+mn-ea"/>
                  <a:cs typeface="+mn-cs"/>
                </a:rPr>
                <a:t>𝑂𝐸𝐴_% )</a:t>
              </a:r>
              <a:endParaRPr lang="en-US" sz="1100">
                <a:solidFill>
                  <a:schemeClr val="tx1"/>
                </a:solidFill>
                <a:effectLst/>
                <a:latin typeface="+mn-lt"/>
                <a:ea typeface="+mn-ea"/>
                <a:cs typeface="+mn-cs"/>
              </a:endParaRPr>
            </a:p>
          </xdr:txBody>
        </xdr:sp>
      </mc:Fallback>
    </mc:AlternateContent>
    <xdr:clientData/>
  </xdr:oneCellAnchor>
  <xdr:oneCellAnchor>
    <xdr:from>
      <xdr:col>5</xdr:col>
      <xdr:colOff>256989</xdr:colOff>
      <xdr:row>169</xdr:row>
      <xdr:rowOff>182282</xdr:rowOff>
    </xdr:from>
    <xdr:ext cx="4050340" cy="349198"/>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6935695" y="56779458"/>
              <a:ext cx="4050340" cy="349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𝑅𝑊</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𝑊</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𝑅𝑊𝐴𝑆𝑢</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𝑝</m:t>
                        </m:r>
                      </m:e>
                      <m:sub>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𝑇𝑟𝑎𝑛𝑐h𝑒</m:t>
                        </m:r>
                      </m:sub>
                    </m:sSub>
                  </m:oMath>
                </m:oMathPara>
              </a14:m>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Choice>
      <mc:Fallback xmlns="">
        <xdr:sp macro="" textlink="">
          <xdr:nvSpPr>
            <xdr:cNvPr id="29" name="TextBox 28">
              <a:extLst>
                <a:ext uri="{FF2B5EF4-FFF2-40B4-BE49-F238E27FC236}">
                  <a16:creationId xmlns:a16="http://schemas.microsoft.com/office/drawing/2014/main" id="{BEA4C516-F0ED-4D55-AE1B-8E945203020F}"/>
                </a:ext>
              </a:extLst>
            </xdr:cNvPr>
            <xdr:cNvSpPr txBox="1"/>
          </xdr:nvSpPr>
          <xdr:spPr>
            <a:xfrm>
              <a:off x="6935695" y="56779458"/>
              <a:ext cx="4050340" cy="3491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𝑅𝑊𝐴_($,𝑇𝑟𝑎𝑛𝑐ℎ𝑒)=𝐴𝐸𝐴_($,𝑇𝑟𝑎𝑛𝑐ℎ𝑒)∗𝑅𝑊_(%,𝑇𝑟𝑎𝑛𝑐ℎ𝑒)+𝑅𝑊𝐴𝑆𝑢𝑝_($, 𝑇𝑟𝑎𝑛𝑐ℎ𝑒)</a:t>
              </a:r>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xdr:txBody>
        </xdr:sp>
      </mc:Fallback>
    </mc:AlternateContent>
    <xdr:clientData/>
  </xdr:oneCellAnchor>
  <xdr:oneCellAnchor>
    <xdr:from>
      <xdr:col>5</xdr:col>
      <xdr:colOff>507999</xdr:colOff>
      <xdr:row>161</xdr:row>
      <xdr:rowOff>291353</xdr:rowOff>
    </xdr:from>
    <xdr:ext cx="2649251" cy="176972"/>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7186705" y="54871471"/>
              <a:ext cx="2649251"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𝑅𝑊𝐴𝑆𝑢</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𝑝</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𝐶𝑛𝑡𝑝𝑡𝑦𝑅𝑊</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m:t>
                    </m:r>
                  </m:oMath>
                </m:oMathPara>
              </a14:m>
              <a:endParaRPr lang="en-US" sz="1100">
                <a:solidFill>
                  <a:schemeClr val="tx1"/>
                </a:solidFill>
                <a:effectLst/>
                <a:latin typeface="+mn-lt"/>
                <a:ea typeface="+mn-ea"/>
                <a:cs typeface="+mn-cs"/>
              </a:endParaRPr>
            </a:p>
          </xdr:txBody>
        </xdr:sp>
      </mc:Choice>
      <mc:Fallback xmlns="">
        <xdr:sp macro="" textlink="">
          <xdr:nvSpPr>
            <xdr:cNvPr id="30" name="TextBox 29">
              <a:extLst>
                <a:ext uri="{FF2B5EF4-FFF2-40B4-BE49-F238E27FC236}">
                  <a16:creationId xmlns:a16="http://schemas.microsoft.com/office/drawing/2014/main" id="{EB0B4811-42A4-4C05-80C3-633C7A77928D}"/>
                </a:ext>
              </a:extLst>
            </xdr:cNvPr>
            <xdr:cNvSpPr txBox="1"/>
          </xdr:nvSpPr>
          <xdr:spPr>
            <a:xfrm>
              <a:off x="7186705" y="54871471"/>
              <a:ext cx="2649251"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mn-lt"/>
                  <a:ea typeface="+mn-ea"/>
                  <a:cs typeface="+mn-cs"/>
                </a:rPr>
                <a:t>𝑅𝑊𝐴𝑆𝑢𝑝_($,𝑇𝑟𝑎𝑛𝑐ℎ𝑒)=𝐶𝑛𝑡𝑝𝑡𝑦𝑅𝑊𝐴_$∗(𝐷−𝐴)</a:t>
              </a:r>
              <a:endParaRPr lang="en-US" sz="1100">
                <a:solidFill>
                  <a:schemeClr val="tx1"/>
                </a:solidFill>
                <a:effectLst/>
                <a:latin typeface="+mn-lt"/>
                <a:ea typeface="+mn-ea"/>
                <a:cs typeface="+mn-cs"/>
              </a:endParaRPr>
            </a:p>
          </xdr:txBody>
        </xdr:sp>
      </mc:Fallback>
    </mc:AlternateContent>
    <xdr:clientData/>
  </xdr:oneCellAnchor>
  <xdr:oneCellAnchor>
    <xdr:from>
      <xdr:col>5</xdr:col>
      <xdr:colOff>411601</xdr:colOff>
      <xdr:row>152</xdr:row>
      <xdr:rowOff>222997</xdr:rowOff>
    </xdr:from>
    <xdr:ext cx="4945530" cy="380361"/>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6780651" y="53220097"/>
              <a:ext cx="4945530"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𝐴𝐸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𝐸𝐴𝐸</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𝐴𝑔𝑔𝑈𝑃</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𝐵</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e>
                    </m:d>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1−</m:t>
                        </m:r>
                        <m:f>
                          <m:fPr>
                            <m:ctrlPr>
                              <a:rPr lang="en-US" sz="1100" i="1">
                                <a:solidFill>
                                  <a:schemeClr val="tx1"/>
                                </a:solidFill>
                                <a:effectLst/>
                                <a:latin typeface="Cambria Math" panose="02040503050406030204" pitchFamily="18" charset="0"/>
                                <a:ea typeface="+mn-ea"/>
                                <a:cs typeface="+mn-cs"/>
                              </a:rPr>
                            </m:ctrlPr>
                          </m:fPr>
                          <m:num>
                            <m:r>
                              <a:rPr lang="en-US" sz="1100" i="1">
                                <a:solidFill>
                                  <a:schemeClr val="tx1"/>
                                </a:solidFill>
                                <a:effectLst/>
                                <a:latin typeface="Cambria Math" panose="02040503050406030204" pitchFamily="18" charset="0"/>
                                <a:ea typeface="+mn-ea"/>
                                <a:cs typeface="+mn-cs"/>
                              </a:rPr>
                              <m:t>𝐸𝐿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 </m:t>
                            </m:r>
                          </m:num>
                          <m:den>
                            <m:r>
                              <a:rPr lang="en-US" sz="1100" i="1">
                                <a:solidFill>
                                  <a:schemeClr val="tx1"/>
                                </a:solidFill>
                                <a:effectLst/>
                                <a:latin typeface="Cambria Math" panose="02040503050406030204" pitchFamily="18" charset="0"/>
                                <a:ea typeface="+mn-ea"/>
                                <a:cs typeface="+mn-cs"/>
                              </a:rPr>
                              <m:t>𝑅</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𝑊</m:t>
                                </m:r>
                              </m:e>
                              <m:sub>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∗8%</m:t>
                            </m:r>
                          </m:den>
                        </m:f>
                      </m:e>
                    </m:d>
                  </m:oMath>
                </m:oMathPara>
              </a14:m>
              <a:endParaRPr lang="en-US" sz="1100">
                <a:solidFill>
                  <a:schemeClr val="tx1"/>
                </a:solidFill>
                <a:effectLst/>
                <a:latin typeface="+mn-lt"/>
                <a:ea typeface="+mn-ea"/>
                <a:cs typeface="+mn-cs"/>
              </a:endParaRPr>
            </a:p>
          </xdr:txBody>
        </xdr:sp>
      </mc:Choice>
      <mc:Fallback xmlns="">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6780651" y="53220097"/>
              <a:ext cx="4945530"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i="0">
                  <a:solidFill>
                    <a:schemeClr val="tx1"/>
                  </a:solidFill>
                  <a:effectLst/>
                  <a:latin typeface="Cambria Math" panose="02040503050406030204" pitchFamily="18" charset="0"/>
                  <a:ea typeface="+mn-ea"/>
                  <a:cs typeface="+mn-cs"/>
                </a:rPr>
                <a:t>𝐴𝐸𝐴_($,𝑇𝑟𝑎𝑛𝑐ℎ𝑒)=〖𝐸𝐴𝐸〗_(%,𝑇𝑟𝑎𝑛𝑐ℎ𝑒)∗𝐴𝑔𝑔𝑈𝑃𝐵_$∗(𝐷−𝐴)∗(1−(𝐸𝐿𝑆_(%,𝑇𝑟𝑎𝑛𝑐ℎ𝑒)  )/(𝑅𝑊_(%, 𝑇𝑟𝑎𝑛𝑐ℎ𝑒)∗8%))</a:t>
              </a:r>
              <a:endParaRPr lang="en-US" sz="1100">
                <a:solidFill>
                  <a:schemeClr val="tx1"/>
                </a:solidFill>
                <a:effectLst/>
                <a:latin typeface="+mn-lt"/>
                <a:ea typeface="+mn-ea"/>
                <a:cs typeface="+mn-cs"/>
              </a:endParaRPr>
            </a:p>
          </xdr:txBody>
        </xdr:sp>
      </mc:Fallback>
    </mc:AlternateContent>
    <xdr:clientData/>
  </xdr:oneCellAnchor>
  <xdr:oneCellAnchor>
    <xdr:from>
      <xdr:col>5</xdr:col>
      <xdr:colOff>311897</xdr:colOff>
      <xdr:row>176</xdr:row>
      <xdr:rowOff>140697</xdr:rowOff>
    </xdr:from>
    <xdr:ext cx="2427075" cy="172227"/>
    <mc:AlternateContent xmlns:mc="http://schemas.openxmlformats.org/markup-compatibility/2006" xmlns:a14="http://schemas.microsoft.com/office/drawing/2010/main">
      <mc:Choice Requires="a14">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4492314" y="60719697"/>
              <a:ext cx="242707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ysClr val="windowText" lastClr="000000"/>
                        </a:solidFill>
                        <a:effectLst/>
                        <a:latin typeface="Cambria Math" panose="02040503050406030204" pitchFamily="18" charset="0"/>
                        <a:ea typeface="+mn-ea"/>
                        <a:cs typeface="+mn-cs"/>
                      </a:rPr>
                      <m:t>𝑅𝑊𝐴𝑅𝑒𝑙𝑖𝑒</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𝑓</m:t>
                        </m:r>
                      </m:e>
                      <m:sub>
                        <m:r>
                          <a:rPr lang="en-US" sz="1100" b="0" i="1">
                            <a:solidFill>
                              <a:sysClr val="windowText" lastClr="000000"/>
                            </a:solidFill>
                            <a:effectLst/>
                            <a:latin typeface="Cambria Math" panose="02040503050406030204" pitchFamily="18" charset="0"/>
                            <a:ea typeface="+mn-ea"/>
                            <a:cs typeface="+mn-cs"/>
                          </a:rPr>
                          <m:t>$</m:t>
                        </m:r>
                      </m:sub>
                    </m:sSub>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𝑅𝑊</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𝐴</m:t>
                        </m:r>
                      </m:e>
                      <m:sub>
                        <m:r>
                          <a:rPr lang="en-US" sz="1100" b="0" i="1">
                            <a:solidFill>
                              <a:sysClr val="windowText" lastClr="000000"/>
                            </a:solidFill>
                            <a:effectLst/>
                            <a:latin typeface="Cambria Math" panose="02040503050406030204" pitchFamily="18" charset="0"/>
                            <a:ea typeface="+mn-ea"/>
                            <a:cs typeface="+mn-cs"/>
                          </a:rPr>
                          <m:t>$</m:t>
                        </m:r>
                      </m:sub>
                    </m:sSub>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𝑃𝑜𝑠𝑡𝐶𝑅𝑇𝑅𝑊</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𝐴</m:t>
                        </m:r>
                      </m:e>
                      <m:sub>
                        <m:r>
                          <a:rPr lang="en-US" sz="1100" b="0" i="1">
                            <a:solidFill>
                              <a:sysClr val="windowText" lastClr="000000"/>
                            </a:solidFill>
                            <a:effectLst/>
                            <a:latin typeface="Cambria Math" panose="02040503050406030204" pitchFamily="18" charset="0"/>
                            <a:ea typeface="+mn-ea"/>
                            <a:cs typeface="+mn-cs"/>
                          </a:rPr>
                          <m:t>$</m:t>
                        </m:r>
                      </m:sub>
                    </m:sSub>
                  </m:oMath>
                </m:oMathPara>
              </a14:m>
              <a:endParaRPr lang="en-US" sz="1100" b="0">
                <a:solidFill>
                  <a:sysClr val="windowText" lastClr="000000"/>
                </a:solidFill>
                <a:effectLst/>
                <a:latin typeface="+mn-lt"/>
                <a:ea typeface="+mn-ea"/>
                <a:cs typeface="+mn-cs"/>
              </a:endParaRPr>
            </a:p>
          </xdr:txBody>
        </xdr:sp>
      </mc:Choice>
      <mc:Fallback xmlns="">
        <xdr:sp macro="" textlink="">
          <xdr:nvSpPr>
            <xdr:cNvPr id="33" name="TextBox 32">
              <a:extLst>
                <a:ext uri="{FF2B5EF4-FFF2-40B4-BE49-F238E27FC236}">
                  <a16:creationId xmlns:a16="http://schemas.microsoft.com/office/drawing/2014/main" id="{2571CFFD-02EF-4ACE-9960-CCDEE9D65D85}"/>
                </a:ext>
              </a:extLst>
            </xdr:cNvPr>
            <xdr:cNvSpPr txBox="1"/>
          </xdr:nvSpPr>
          <xdr:spPr>
            <a:xfrm>
              <a:off x="4492314" y="60719697"/>
              <a:ext cx="242707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ysClr val="windowText" lastClr="000000"/>
                  </a:solidFill>
                  <a:effectLst/>
                  <a:latin typeface="Cambria Math" panose="02040503050406030204" pitchFamily="18" charset="0"/>
                  <a:ea typeface="+mn-ea"/>
                  <a:cs typeface="+mn-cs"/>
                </a:rPr>
                <a:t>𝑅𝑊𝐴𝑅𝑒𝑙𝑖𝑒𝑓_$=𝑅𝑊𝐴_$−𝑃𝑜𝑠𝑡𝐶𝑅𝑇𝑅𝑊𝐴_$</a:t>
              </a:r>
              <a:endParaRPr lang="en-US" sz="1100" b="0">
                <a:solidFill>
                  <a:sysClr val="windowText" lastClr="000000"/>
                </a:solidFill>
                <a:effectLst/>
                <a:latin typeface="+mn-lt"/>
                <a:ea typeface="+mn-ea"/>
                <a:cs typeface="+mn-cs"/>
              </a:endParaRPr>
            </a:p>
          </xdr:txBody>
        </xdr:sp>
      </mc:Fallback>
    </mc:AlternateContent>
    <xdr:clientData/>
  </xdr:oneCellAnchor>
  <xdr:oneCellAnchor>
    <xdr:from>
      <xdr:col>5</xdr:col>
      <xdr:colOff>254000</xdr:colOff>
      <xdr:row>175</xdr:row>
      <xdr:rowOff>116417</xdr:rowOff>
    </xdr:from>
    <xdr:ext cx="3170419" cy="176972"/>
    <mc:AlternateContent xmlns:mc="http://schemas.openxmlformats.org/markup-compatibility/2006" xmlns:a14="http://schemas.microsoft.com/office/drawing/2010/main">
      <mc:Choice Requires="a14">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4434417" y="60113334"/>
              <a:ext cx="3170419"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ysClr val="windowText" lastClr="000000"/>
                        </a:solidFill>
                        <a:effectLst/>
                        <a:latin typeface="Cambria Math" panose="02040503050406030204" pitchFamily="18" charset="0"/>
                        <a:ea typeface="+mn-ea"/>
                        <a:cs typeface="+mn-cs"/>
                      </a:rPr>
                      <m:t>𝑃𝑜𝑠𝑡𝐶𝑅𝑇𝑅𝑊</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𝐴</m:t>
                        </m:r>
                      </m:e>
                      <m:sub>
                        <m:r>
                          <a:rPr lang="en-US" sz="1100" b="0" i="1">
                            <a:solidFill>
                              <a:sysClr val="windowText" lastClr="000000"/>
                            </a:solidFill>
                            <a:effectLst/>
                            <a:latin typeface="Cambria Math" panose="02040503050406030204" pitchFamily="18" charset="0"/>
                            <a:ea typeface="+mn-ea"/>
                            <a:cs typeface="+mn-cs"/>
                          </a:rPr>
                          <m:t>$</m:t>
                        </m:r>
                      </m:sub>
                    </m:sSub>
                    <m:r>
                      <a:rPr lang="en-US" sz="1100" b="0" i="1">
                        <a:solidFill>
                          <a:sysClr val="windowText" lastClr="000000"/>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𝑅𝑊</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m:t>
                        </m:r>
                      </m:e>
                      <m: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𝐴𝐻</m:t>
                        </m:r>
                      </m:sub>
                    </m:s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𝑅𝑊</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m:t>
                        </m:r>
                      </m:e>
                      <m: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𝑀</m:t>
                        </m:r>
                        <m:r>
                          <a:rPr lang="en-US" sz="1100" b="0" i="1">
                            <a:solidFill>
                              <a:schemeClr val="tx1"/>
                            </a:solidFill>
                            <a:effectLst/>
                            <a:latin typeface="Cambria Math" panose="02040503050406030204" pitchFamily="18" charset="0"/>
                            <a:ea typeface="+mn-ea"/>
                            <a:cs typeface="+mn-cs"/>
                          </a:rPr>
                          <m:t>1</m:t>
                        </m:r>
                      </m:sub>
                    </m:s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𝑅𝑊</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m:t>
                        </m:r>
                      </m:e>
                      <m: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𝐵</m:t>
                        </m:r>
                      </m:sub>
                    </m:sSub>
                    <m:r>
                      <a:rPr lang="en-US" sz="1100" b="0" i="1">
                        <a:solidFill>
                          <a:sysClr val="windowText" lastClr="000000"/>
                        </a:solidFill>
                        <a:effectLst/>
                        <a:latin typeface="Cambria Math" panose="02040503050406030204" pitchFamily="18" charset="0"/>
                        <a:ea typeface="+mn-ea"/>
                        <a:cs typeface="+mn-cs"/>
                      </a:rPr>
                      <m:t> </m:t>
                    </m:r>
                  </m:oMath>
                </m:oMathPara>
              </a14:m>
              <a:endParaRPr lang="en-US" sz="1100" b="0">
                <a:solidFill>
                  <a:sysClr val="windowText" lastClr="000000"/>
                </a:solidFill>
                <a:effectLst/>
                <a:latin typeface="+mn-lt"/>
                <a:ea typeface="+mn-ea"/>
                <a:cs typeface="+mn-cs"/>
              </a:endParaRPr>
            </a:p>
          </xdr:txBody>
        </xdr:sp>
      </mc:Choice>
      <mc:Fallback xmlns="">
        <xdr:sp macro="" textlink="">
          <xdr:nvSpPr>
            <xdr:cNvPr id="35" name="TextBox 34">
              <a:extLst>
                <a:ext uri="{FF2B5EF4-FFF2-40B4-BE49-F238E27FC236}">
                  <a16:creationId xmlns:a16="http://schemas.microsoft.com/office/drawing/2014/main" id="{4241A01A-66A3-471B-8D1D-DDCEE91E50F0}"/>
                </a:ext>
              </a:extLst>
            </xdr:cNvPr>
            <xdr:cNvSpPr txBox="1"/>
          </xdr:nvSpPr>
          <xdr:spPr>
            <a:xfrm>
              <a:off x="4434417" y="60113334"/>
              <a:ext cx="3170419" cy="176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ysClr val="windowText" lastClr="000000"/>
                  </a:solidFill>
                  <a:effectLst/>
                  <a:latin typeface="Cambria Math" panose="02040503050406030204" pitchFamily="18" charset="0"/>
                  <a:ea typeface="+mn-ea"/>
                  <a:cs typeface="+mn-cs"/>
                </a:rPr>
                <a:t>𝑃𝑜𝑠𝑡𝐶𝑅𝑇𝑅𝑊𝐴_$=</a:t>
              </a:r>
              <a:r>
                <a:rPr lang="en-US" sz="1100" b="0" i="0">
                  <a:solidFill>
                    <a:schemeClr val="tx1"/>
                  </a:solidFill>
                  <a:effectLst/>
                  <a:latin typeface="Cambria Math" panose="02040503050406030204" pitchFamily="18" charset="0"/>
                  <a:ea typeface="+mn-ea"/>
                  <a:cs typeface="+mn-cs"/>
                </a:rPr>
                <a:t>𝑅𝑊𝐴_($,𝐴𝐻)+𝑅𝑊𝐴_($,𝑀1)+𝑅𝑊𝐴_($,𝐵)</a:t>
              </a:r>
              <a:r>
                <a:rPr lang="en-US" sz="1100" b="0" i="0">
                  <a:solidFill>
                    <a:sysClr val="windowText" lastClr="000000"/>
                  </a:solidFill>
                  <a:effectLst/>
                  <a:latin typeface="Cambria Math" panose="02040503050406030204" pitchFamily="18" charset="0"/>
                  <a:ea typeface="+mn-ea"/>
                  <a:cs typeface="+mn-cs"/>
                </a:rPr>
                <a:t>  </a:t>
              </a:r>
              <a:endParaRPr lang="en-US" sz="1100" b="0">
                <a:solidFill>
                  <a:sysClr val="windowText" lastClr="000000"/>
                </a:solidFill>
                <a:effectLst/>
                <a:latin typeface="+mn-lt"/>
                <a:ea typeface="+mn-ea"/>
                <a:cs typeface="+mn-cs"/>
              </a:endParaRPr>
            </a:p>
          </xdr:txBody>
        </xdr:sp>
      </mc:Fallback>
    </mc:AlternateContent>
    <xdr:clientData/>
  </xdr:oneCellAnchor>
  <xdr:twoCellAnchor editAs="absolute">
    <xdr:from>
      <xdr:col>5</xdr:col>
      <xdr:colOff>217410</xdr:colOff>
      <xdr:row>5</xdr:row>
      <xdr:rowOff>1294003</xdr:rowOff>
    </xdr:from>
    <xdr:to>
      <xdr:col>7</xdr:col>
      <xdr:colOff>59018</xdr:colOff>
      <xdr:row>5</xdr:row>
      <xdr:rowOff>1516763</xdr:rowOff>
    </xdr:to>
    <mc:AlternateContent xmlns:mc="http://schemas.openxmlformats.org/markup-compatibility/2006" xmlns:a14="http://schemas.microsoft.com/office/drawing/2010/main">
      <mc:Choice Requires="a14">
        <xdr:sp macro="" textlink="">
          <xdr:nvSpPr>
            <xdr:cNvPr id="36" name="TextBox 35">
              <a:extLst>
                <a:ext uri="{FF2B5EF4-FFF2-40B4-BE49-F238E27FC236}">
                  <a16:creationId xmlns:a16="http://schemas.microsoft.com/office/drawing/2014/main" id="{00000000-0008-0000-0100-000024000000}"/>
                </a:ext>
              </a:extLst>
            </xdr:cNvPr>
            <xdr:cNvSpPr txBox="1">
              <a:spLocks noChangeAspect="1"/>
            </xdr:cNvSpPr>
          </xdr:nvSpPr>
          <xdr:spPr>
            <a:xfrm>
              <a:off x="6586460" y="3078353"/>
              <a:ext cx="8185508" cy="222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14:m>
                <m:oMathPara xmlns:m="http://schemas.openxmlformats.org/officeDocument/2006/math">
                  <m:oMathParaPr>
                    <m:jc m:val="left"/>
                  </m:oMathParaPr>
                  <m:oMath xmlns:m="http://schemas.openxmlformats.org/officeDocument/2006/math">
                    <m:r>
                      <a:rPr lang="en-US" sz="1100" b="0" i="1">
                        <a:latin typeface="Cambria Math" panose="02040503050406030204" pitchFamily="18" charset="0"/>
                      </a:rPr>
                      <m:t>𝑅𝑊</m:t>
                    </m:r>
                    <m:sSub>
                      <m:sSubPr>
                        <m:ctrlPr>
                          <a:rPr lang="en-US" sz="1100" b="0" i="1">
                            <a:latin typeface="Cambria Math" panose="02040503050406030204" pitchFamily="18" charset="0"/>
                          </a:rPr>
                        </m:ctrlPr>
                      </m:sSubPr>
                      <m:e>
                        <m:r>
                          <a:rPr lang="en-US" sz="1100" b="0" i="1">
                            <a:latin typeface="Cambria Math" panose="02040503050406030204" pitchFamily="18" charset="0"/>
                          </a:rPr>
                          <m:t>𝐴</m:t>
                        </m:r>
                      </m:e>
                      <m:sub>
                        <m:r>
                          <a:rPr lang="en-US" sz="1100" b="0" i="1">
                            <a:latin typeface="Cambria Math" panose="02040503050406030204" pitchFamily="18" charset="0"/>
                          </a:rPr>
                          <m:t>$,</m:t>
                        </m:r>
                        <m:r>
                          <a:rPr lang="en-US" sz="1100" b="0" i="1">
                            <a:latin typeface="Cambria Math" panose="02040503050406030204" pitchFamily="18" charset="0"/>
                          </a:rPr>
                          <m:t>𝑖</m:t>
                        </m:r>
                      </m:sub>
                    </m:sSub>
                    <m:r>
                      <a:rPr lang="en-US" sz="1100" b="0" i="1">
                        <a:latin typeface="Cambria Math" panose="02040503050406030204" pitchFamily="18" charset="0"/>
                      </a:rPr>
                      <m:t>=</m:t>
                    </m:r>
                    <m:r>
                      <a:rPr lang="en-US" sz="1100" b="0" i="1">
                        <a:solidFill>
                          <a:schemeClr val="tx1"/>
                        </a:solidFill>
                        <a:effectLst/>
                        <a:latin typeface="Cambria Math" panose="02040503050406030204" pitchFamily="18" charset="0"/>
                        <a:ea typeface="+mn-ea"/>
                        <a:cs typeface="+mn-cs"/>
                      </a:rPr>
                      <m:t>𝐸𝑥𝑝</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𝐴𝑚𝑡</m:t>
                        </m:r>
                      </m:e>
                      <m:sub>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𝑖</m:t>
                        </m:r>
                      </m:sub>
                    </m:sSub>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𝐵𝑎𝑠𝑒𝑅</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𝑊</m:t>
                            </m:r>
                          </m:e>
                          <m:sub>
                            <m:r>
                              <a:rPr lang="en-US" sz="1100" b="0" i="1">
                                <a:solidFill>
                                  <a:schemeClr val="tx1"/>
                                </a:solidFill>
                                <a:effectLst/>
                                <a:latin typeface="Cambria Math" panose="02040503050406030204" pitchFamily="18" charset="0"/>
                                <a:ea typeface="+mn-ea"/>
                                <a:cs typeface="+mn-cs"/>
                              </a:rPr>
                              <m:t>𝑖</m:t>
                            </m:r>
                          </m:sub>
                        </m:sSub>
                      </m:e>
                    </m:d>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𝐶𝑜𝑚𝑏𝑖𝑛𝑒𝑑𝑅𝑖𝑠𝑘𝑀𝑢𝑙𝑡𝑖𝑝𝑙𝑖𝑒</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𝑟</m:t>
                            </m:r>
                          </m:e>
                          <m:sub>
                            <m:r>
                              <a:rPr lang="en-US" sz="1100" b="0" i="1">
                                <a:solidFill>
                                  <a:schemeClr val="tx1"/>
                                </a:solidFill>
                                <a:effectLst/>
                                <a:latin typeface="Cambria Math" panose="02040503050406030204" pitchFamily="18" charset="0"/>
                                <a:ea typeface="+mn-ea"/>
                                <a:cs typeface="+mn-cs"/>
                              </a:rPr>
                              <m:t>𝑖</m:t>
                            </m:r>
                          </m:sub>
                        </m:sSub>
                      </m:e>
                    </m:d>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1−</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1−</m:t>
                            </m:r>
                            <m:r>
                              <a:rPr lang="en-US" sz="1100" b="0" i="1">
                                <a:solidFill>
                                  <a:schemeClr val="tx1"/>
                                </a:solidFill>
                                <a:effectLst/>
                                <a:latin typeface="Cambria Math" panose="02040503050406030204" pitchFamily="18" charset="0"/>
                                <a:ea typeface="+mn-ea"/>
                                <a:cs typeface="+mn-cs"/>
                              </a:rPr>
                              <m:t>𝐶𝑟𝑒𝑑𝑖𝑡𝐸𝑛h𝑎𝑛𝑐𝑒𝑚𝑒𝑛𝑡𝑀𝑢𝑙𝑖𝑡𝑝𝑙𝑖𝑒</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𝑟</m:t>
                                </m:r>
                              </m:e>
                              <m:sub>
                                <m:r>
                                  <a:rPr lang="en-US" sz="1100" b="0" i="1">
                                    <a:solidFill>
                                      <a:schemeClr val="tx1"/>
                                    </a:solidFill>
                                    <a:effectLst/>
                                    <a:latin typeface="Cambria Math" panose="02040503050406030204" pitchFamily="18" charset="0"/>
                                    <a:ea typeface="+mn-ea"/>
                                    <a:cs typeface="+mn-cs"/>
                                  </a:rPr>
                                  <m:t>𝑖</m:t>
                                </m:r>
                              </m:sub>
                            </m:sSub>
                          </m:e>
                        </m:d>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1−</m:t>
                            </m:r>
                            <m:r>
                              <a:rPr lang="en-US" sz="1100" b="0" i="1">
                                <a:solidFill>
                                  <a:schemeClr val="tx1"/>
                                </a:solidFill>
                                <a:effectLst/>
                                <a:latin typeface="Cambria Math" panose="02040503050406030204" pitchFamily="18" charset="0"/>
                                <a:ea typeface="+mn-ea"/>
                                <a:cs typeface="+mn-cs"/>
                              </a:rPr>
                              <m:t>𝐻</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𝐶</m:t>
                                </m:r>
                              </m:e>
                              <m:sub>
                                <m:r>
                                  <a:rPr lang="en-US" sz="1100" b="0" i="1">
                                    <a:solidFill>
                                      <a:schemeClr val="tx1"/>
                                    </a:solidFill>
                                    <a:effectLst/>
                                    <a:latin typeface="Cambria Math" panose="02040503050406030204" pitchFamily="18" charset="0"/>
                                    <a:ea typeface="+mn-ea"/>
                                    <a:cs typeface="+mn-cs"/>
                                  </a:rPr>
                                  <m:t>𝑖</m:t>
                                </m:r>
                              </m:sub>
                            </m:sSub>
                          </m:e>
                        </m:d>
                      </m:e>
                    </m:d>
                    <m:r>
                      <a:rPr lang="en-US" sz="1100" b="0" i="1">
                        <a:latin typeface="Cambria Math" panose="02040503050406030204" pitchFamily="18" charset="0"/>
                      </a:rPr>
                      <m:t>  </m:t>
                    </m:r>
                  </m:oMath>
                </m:oMathPara>
              </a14:m>
              <a:endParaRPr lang="en-US" sz="1100" b="0"/>
            </a:p>
          </xdr:txBody>
        </xdr:sp>
      </mc:Choice>
      <mc:Fallback xmlns="">
        <xdr:sp macro="" textlink="">
          <xdr:nvSpPr>
            <xdr:cNvPr id="36" name="TextBox 35">
              <a:extLst>
                <a:ext uri="{FF2B5EF4-FFF2-40B4-BE49-F238E27FC236}">
                  <a16:creationId xmlns:a16="http://schemas.microsoft.com/office/drawing/2014/main" id="{00000000-0008-0000-0100-000024000000}"/>
                </a:ext>
              </a:extLst>
            </xdr:cNvPr>
            <xdr:cNvSpPr txBox="1">
              <a:spLocks noChangeAspect="1"/>
            </xdr:cNvSpPr>
          </xdr:nvSpPr>
          <xdr:spPr>
            <a:xfrm>
              <a:off x="6586460" y="3078353"/>
              <a:ext cx="8185508" cy="222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lang="en-US" sz="1100" b="0" i="0">
                  <a:latin typeface="Cambria Math" panose="02040503050406030204" pitchFamily="18" charset="0"/>
                </a:rPr>
                <a:t>𝑅𝑊𝐴_($,𝑖)=</a:t>
              </a:r>
              <a:r>
                <a:rPr lang="en-US" sz="1100" b="0" i="0">
                  <a:solidFill>
                    <a:schemeClr val="tx1"/>
                  </a:solidFill>
                  <a:effectLst/>
                  <a:latin typeface="Cambria Math" panose="02040503050406030204" pitchFamily="18" charset="0"/>
                  <a:ea typeface="+mn-ea"/>
                  <a:cs typeface="+mn-cs"/>
                </a:rPr>
                <a:t>𝐸𝑥𝑝〖𝐴𝑚𝑡〗_($,𝑖)∗(𝐵𝑎𝑠𝑒𝑅𝑊_𝑖 )∗(𝐶𝑜𝑚𝑏𝑖𝑛𝑒𝑑𝑅𝑖𝑠𝑘𝑀𝑢𝑙𝑡𝑖𝑝𝑙𝑖𝑒𝑟_𝑖 )∗(1−(1−𝐶𝑟𝑒𝑑𝑖𝑡𝐸𝑛ℎ𝑎𝑛𝑐𝑒𝑚𝑒𝑛𝑡𝑀𝑢𝑙𝑖𝑡𝑝𝑙𝑖𝑒𝑟_𝑖 )(1−𝐻𝐶_𝑖 )) </a:t>
              </a:r>
              <a:r>
                <a:rPr lang="en-US" sz="1100" b="0" i="0">
                  <a:latin typeface="Cambria Math" panose="02040503050406030204" pitchFamily="18" charset="0"/>
                </a:rPr>
                <a:t>  </a:t>
              </a:r>
              <a:endParaRPr lang="en-US" sz="1100" b="0"/>
            </a:p>
          </xdr:txBody>
        </xdr:sp>
      </mc:Fallback>
    </mc:AlternateContent>
    <xdr:clientData/>
  </xdr:twoCellAnchor>
  <xdr:twoCellAnchor editAs="oneCell">
    <xdr:from>
      <xdr:col>0</xdr:col>
      <xdr:colOff>0</xdr:colOff>
      <xdr:row>0</xdr:row>
      <xdr:rowOff>1</xdr:rowOff>
    </xdr:from>
    <xdr:to>
      <xdr:col>1</xdr:col>
      <xdr:colOff>542192</xdr:colOff>
      <xdr:row>2</xdr:row>
      <xdr:rowOff>20253</xdr:rowOff>
    </xdr:to>
    <xdr:pic>
      <xdr:nvPicPr>
        <xdr:cNvPr id="34" name="Picture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
        <a:stretch>
          <a:fillRect/>
        </a:stretch>
      </xdr:blipFill>
      <xdr:spPr>
        <a:xfrm>
          <a:off x="0" y="1"/>
          <a:ext cx="864577" cy="909252"/>
        </a:xfrm>
        <a:prstGeom prst="rect">
          <a:avLst/>
        </a:prstGeom>
      </xdr:spPr>
    </xdr:pic>
    <xdr:clientData/>
  </xdr:twoCellAnchor>
  <xdr:oneCellAnchor>
    <xdr:from>
      <xdr:col>5</xdr:col>
      <xdr:colOff>133350</xdr:colOff>
      <xdr:row>136</xdr:row>
      <xdr:rowOff>584200</xdr:rowOff>
    </xdr:from>
    <xdr:ext cx="4614725" cy="540404"/>
    <mc:AlternateContent xmlns:mc="http://schemas.openxmlformats.org/markup-compatibility/2006" xmlns:a14="http://schemas.microsoft.com/office/drawing/2010/main">
      <mc:Choice Requires="a14">
        <xdr:sp macro="" textlink="">
          <xdr:nvSpPr>
            <xdr:cNvPr id="37" name="TextBox 36">
              <a:extLst>
                <a:ext uri="{FF2B5EF4-FFF2-40B4-BE49-F238E27FC236}">
                  <a16:creationId xmlns:a16="http://schemas.microsoft.com/office/drawing/2014/main" id="{4CAFD085-8646-4B80-92F6-93D9E787ADB8}"/>
                </a:ext>
              </a:extLst>
            </xdr:cNvPr>
            <xdr:cNvSpPr txBox="1"/>
          </xdr:nvSpPr>
          <xdr:spPr>
            <a:xfrm>
              <a:off x="6502400" y="49466500"/>
              <a:ext cx="4614725" cy="540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2020 </m:t>
                    </m:r>
                    <m:r>
                      <a:rPr lang="en-US" sz="1100" b="0" i="1">
                        <a:solidFill>
                          <a:schemeClr val="tx1"/>
                        </a:solidFill>
                        <a:effectLst/>
                        <a:latin typeface="Cambria Math" panose="02040503050406030204" pitchFamily="18" charset="0"/>
                        <a:ea typeface="+mn-ea"/>
                        <a:cs typeface="+mn-cs"/>
                      </a:rPr>
                      <m:t>𝐸𝑅𝐶𝐹</m:t>
                    </m:r>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𝑂𝐸</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𝐴</m:t>
                        </m:r>
                      </m:e>
                      <m:sub>
                        <m:r>
                          <a:rPr lang="en-US" sz="1100" b="0" i="1">
                            <a:solidFill>
                              <a:schemeClr val="tx1"/>
                            </a:solidFill>
                            <a:effectLst/>
                            <a:latin typeface="Cambria Math" panose="02040503050406030204" pitchFamily="18" charset="0"/>
                            <a:ea typeface="+mn-ea"/>
                            <a:cs typeface="+mn-cs"/>
                          </a:rPr>
                          <m:t>%</m:t>
                        </m:r>
                      </m:sub>
                    </m:sSub>
                    <m:r>
                      <a:rPr lang="en-US" sz="1100" b="0" i="1">
                        <a:solidFill>
                          <a:schemeClr val="tx1"/>
                        </a:solidFill>
                        <a:effectLst/>
                        <a:latin typeface="Cambria Math" panose="02040503050406030204" pitchFamily="18" charset="0"/>
                        <a:ea typeface="+mn-ea"/>
                        <a:cs typeface="+mn-cs"/>
                      </a:rPr>
                      <m:t>=</m:t>
                    </m:r>
                    <m:d>
                      <m:dPr>
                        <m:begChr m:val="{"/>
                        <m:endChr m:val=""/>
                        <m:ctrlPr>
                          <a:rPr lang="en-US" sz="1100" b="0" i="1">
                            <a:solidFill>
                              <a:schemeClr val="tx1"/>
                            </a:solidFill>
                            <a:effectLst/>
                            <a:latin typeface="Cambria Math" panose="02040503050406030204" pitchFamily="18" charset="0"/>
                            <a:ea typeface="+mn-ea"/>
                            <a:cs typeface="+mn-cs"/>
                          </a:rPr>
                        </m:ctrlPr>
                      </m:dPr>
                      <m:e>
                        <m:m>
                          <m:mPr>
                            <m:mcs>
                              <m:mc>
                                <m:mcPr>
                                  <m:count m:val="1"/>
                                  <m:mcJc m:val="center"/>
                                </m:mcPr>
                              </m:mc>
                            </m:mcs>
                            <m:ctrlPr>
                              <a:rPr lang="en-US" sz="1100" b="0" i="1">
                                <a:solidFill>
                                  <a:schemeClr val="tx1"/>
                                </a:solidFill>
                                <a:effectLst/>
                                <a:latin typeface="Cambria Math" panose="02040503050406030204" pitchFamily="18" charset="0"/>
                                <a:ea typeface="+mn-ea"/>
                                <a:cs typeface="+mn-cs"/>
                              </a:rPr>
                            </m:ctrlPr>
                          </m:mPr>
                          <m:mr>
                            <m:e>
                              <m:r>
                                <m:rPr>
                                  <m:brk m:alnAt="7"/>
                                </m:rPr>
                                <a:rPr lang="en-US" sz="1100" b="0" i="1">
                                  <a:solidFill>
                                    <a:schemeClr val="tx1"/>
                                  </a:solidFill>
                                  <a:effectLst/>
                                  <a:latin typeface="Cambria Math" panose="02040503050406030204" pitchFamily="18" charset="0"/>
                                  <a:ea typeface="+mn-ea"/>
                                  <a:cs typeface="+mn-cs"/>
                                </a:rPr>
                                <m:t>1</m:t>
                              </m:r>
                              <m:r>
                                <a:rPr lang="en-US" sz="1100" b="0" i="1">
                                  <a:solidFill>
                                    <a:schemeClr val="tx1"/>
                                  </a:solidFill>
                                  <a:effectLst/>
                                  <a:latin typeface="Cambria Math" panose="02040503050406030204" pitchFamily="18" charset="0"/>
                                  <a:ea typeface="+mn-ea"/>
                                  <a:cs typeface="+mn-cs"/>
                                </a:rPr>
                                <m:t>00% </m:t>
                              </m:r>
                              <m:r>
                                <a:rPr lang="en-US" sz="1100" b="0" i="1">
                                  <a:solidFill>
                                    <a:schemeClr val="tx1"/>
                                  </a:solidFill>
                                  <a:effectLst/>
                                  <a:latin typeface="Cambria Math" panose="02040503050406030204" pitchFamily="18" charset="0"/>
                                  <a:ea typeface="+mn-ea"/>
                                  <a:cs typeface="+mn-cs"/>
                                </a:rPr>
                                <m:t>𝑖𝑓</m:t>
                              </m:r>
                              <m:r>
                                <a:rPr lang="en-US" sz="1100" b="0" i="1">
                                  <a:solidFill>
                                    <a:schemeClr val="tx1"/>
                                  </a:solidFill>
                                  <a:effectLst/>
                                  <a:latin typeface="Cambria Math" panose="02040503050406030204" pitchFamily="18" charset="0"/>
                                  <a:ea typeface="+mn-ea"/>
                                  <a:cs typeface="+mn-cs"/>
                                </a:rPr>
                                <m:t> </m:t>
                              </m:r>
                              <m:sSub>
                                <m:sSubPr>
                                  <m:ctrlPr>
                                    <a:rPr lang="en-US" sz="1100" b="0" i="1">
                                      <a:solidFill>
                                        <a:schemeClr val="tx1"/>
                                      </a:solidFill>
                                      <a:effectLst/>
                                      <a:latin typeface="Cambria Math" panose="02040503050406030204" pitchFamily="18" charset="0"/>
                                      <a:ea typeface="+mn-ea"/>
                                      <a:cs typeface="+mn-cs"/>
                                    </a:rPr>
                                  </m:ctrlPr>
                                </m:sSubPr>
                                <m:e>
                                  <m:r>
                                    <m:rPr>
                                      <m:brk m:alnAt="7"/>
                                    </m:rPr>
                                    <a:rPr lang="en-US" sz="1100" b="0" i="1">
                                      <a:solidFill>
                                        <a:schemeClr val="tx1"/>
                                      </a:solidFill>
                                      <a:effectLst/>
                                      <a:latin typeface="Cambria Math" panose="02040503050406030204" pitchFamily="18" charset="0"/>
                                      <a:ea typeface="+mn-ea"/>
                                      <a:cs typeface="+mn-cs"/>
                                    </a:rPr>
                                    <m:t>𝐾</m:t>
                                  </m:r>
                                </m:e>
                                <m:sub>
                                  <m:r>
                                    <m:rPr>
                                      <m:brk m:alnAt="7"/>
                                    </m:rPr>
                                    <a:rPr lang="en-US" sz="1100" b="0" i="1">
                                      <a:solidFill>
                                        <a:schemeClr val="tx1"/>
                                      </a:solidFill>
                                      <a:effectLst/>
                                      <a:latin typeface="Cambria Math" panose="02040503050406030204" pitchFamily="18" charset="0"/>
                                      <a:ea typeface="+mn-ea"/>
                                      <a:cs typeface="+mn-cs"/>
                                    </a:rPr>
                                    <m:t>𝐴</m:t>
                                  </m:r>
                                </m:sub>
                              </m:sSub>
                              <m:r>
                                <m:rPr>
                                  <m:brk m:alnAt="7"/>
                                </m:rP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1.6%</m:t>
                              </m:r>
                            </m:e>
                          </m:mr>
                          <m:mr>
                            <m:e>
                              <m:r>
                                <a:rPr lang="en-US" sz="1100" b="0" i="1">
                                  <a:solidFill>
                                    <a:schemeClr val="tx1"/>
                                  </a:solidFill>
                                  <a:effectLst/>
                                  <a:latin typeface="Cambria Math" panose="02040503050406030204" pitchFamily="18" charset="0"/>
                                  <a:ea typeface="+mn-ea"/>
                                  <a:cs typeface="+mn-cs"/>
                                </a:rPr>
                                <m:t>100%∗</m:t>
                              </m:r>
                              <m:d>
                                <m:dPr>
                                  <m:ctrlPr>
                                    <a:rPr lang="en-US" sz="1100" b="0" i="1">
                                      <a:solidFill>
                                        <a:schemeClr val="tx1"/>
                                      </a:solidFill>
                                      <a:effectLst/>
                                      <a:latin typeface="Cambria Math" panose="02040503050406030204" pitchFamily="18" charset="0"/>
                                      <a:ea typeface="+mn-ea"/>
                                      <a:cs typeface="+mn-cs"/>
                                    </a:rPr>
                                  </m:ctrlPr>
                                </m:dPr>
                                <m:e>
                                  <m:r>
                                    <a:rPr lang="en-US" sz="1100" b="0" i="1">
                                      <a:solidFill>
                                        <a:schemeClr val="tx1"/>
                                      </a:solidFill>
                                      <a:effectLst/>
                                      <a:latin typeface="Cambria Math" panose="02040503050406030204" pitchFamily="18" charset="0"/>
                                      <a:ea typeface="+mn-ea"/>
                                      <a:cs typeface="+mn-cs"/>
                                    </a:rPr>
                                    <m:t>1.06667−4.16667∗</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𝐾</m:t>
                                      </m:r>
                                    </m:e>
                                    <m:sub>
                                      <m:r>
                                        <a:rPr lang="en-US" sz="1100" b="0" i="1">
                                          <a:solidFill>
                                            <a:schemeClr val="tx1"/>
                                          </a:solidFill>
                                          <a:effectLst/>
                                          <a:latin typeface="Cambria Math" panose="02040503050406030204" pitchFamily="18" charset="0"/>
                                          <a:ea typeface="+mn-ea"/>
                                          <a:cs typeface="+mn-cs"/>
                                        </a:rPr>
                                        <m:t>𝐴</m:t>
                                      </m:r>
                                    </m:sub>
                                  </m:sSub>
                                </m:e>
                              </m:d>
                              <m:r>
                                <a:rPr lang="en-US" sz="1100" b="0" i="1">
                                  <a:solidFill>
                                    <a:schemeClr val="tx1"/>
                                  </a:solidFill>
                                  <a:effectLst/>
                                  <a:latin typeface="Cambria Math" panose="02040503050406030204" pitchFamily="18" charset="0"/>
                                  <a:ea typeface="+mn-ea"/>
                                  <a:cs typeface="+mn-cs"/>
                                </a:rPr>
                                <m:t> </m:t>
                              </m:r>
                              <m:r>
                                <a:rPr lang="en-US" sz="1100" b="0" i="1">
                                  <a:solidFill>
                                    <a:schemeClr val="tx1"/>
                                  </a:solidFill>
                                  <a:effectLst/>
                                  <a:latin typeface="Cambria Math" panose="02040503050406030204" pitchFamily="18" charset="0"/>
                                  <a:ea typeface="+mn-ea"/>
                                  <a:cs typeface="+mn-cs"/>
                                </a:rPr>
                                <m:t>𝑖𝑓</m:t>
                              </m:r>
                              <m:r>
                                <a:rPr lang="en-US" sz="1100" b="0" i="1">
                                  <a:solidFill>
                                    <a:schemeClr val="tx1"/>
                                  </a:solidFill>
                                  <a:effectLst/>
                                  <a:latin typeface="Cambria Math" panose="02040503050406030204" pitchFamily="18" charset="0"/>
                                  <a:ea typeface="+mn-ea"/>
                                  <a:cs typeface="+mn-cs"/>
                                </a:rPr>
                                <m:t>1.6%&lt;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𝐾</m:t>
                                  </m:r>
                                </m:e>
                                <m:sub>
                                  <m:r>
                                    <a:rPr lang="en-US" sz="1100" b="0" i="1">
                                      <a:solidFill>
                                        <a:schemeClr val="tx1"/>
                                      </a:solidFill>
                                      <a:effectLst/>
                                      <a:latin typeface="Cambria Math" panose="02040503050406030204" pitchFamily="18" charset="0"/>
                                      <a:ea typeface="+mn-ea"/>
                                      <a:cs typeface="+mn-cs"/>
                                    </a:rPr>
                                    <m:t>𝐴</m:t>
                                  </m:r>
                                </m:sub>
                              </m:sSub>
                              <m:r>
                                <a:rPr lang="en-US" sz="1100" b="0" i="1">
                                  <a:solidFill>
                                    <a:schemeClr val="tx1"/>
                                  </a:solidFill>
                                  <a:effectLst/>
                                  <a:latin typeface="Cambria Math" panose="02040503050406030204" pitchFamily="18" charset="0"/>
                                  <a:ea typeface="+mn-ea"/>
                                  <a:cs typeface="+mn-cs"/>
                                </a:rPr>
                                <m:t>&lt;4%</m:t>
                              </m:r>
                            </m:e>
                          </m:mr>
                          <m:mr>
                            <m:e>
                              <m:r>
                                <a:rPr lang="en-US" sz="1100" b="0" i="1">
                                  <a:solidFill>
                                    <a:schemeClr val="tx1"/>
                                  </a:solidFill>
                                  <a:effectLst/>
                                  <a:latin typeface="Cambria Math" panose="02040503050406030204" pitchFamily="18" charset="0"/>
                                  <a:ea typeface="+mn-ea"/>
                                  <a:cs typeface="+mn-cs"/>
                                </a:rPr>
                                <m:t>90% </m:t>
                              </m:r>
                              <m:r>
                                <a:rPr lang="en-US" sz="1100" b="0" i="1">
                                  <a:solidFill>
                                    <a:schemeClr val="tx1"/>
                                  </a:solidFill>
                                  <a:effectLst/>
                                  <a:latin typeface="Cambria Math" panose="02040503050406030204" pitchFamily="18" charset="0"/>
                                  <a:ea typeface="+mn-ea"/>
                                  <a:cs typeface="+mn-cs"/>
                                </a:rPr>
                                <m:t>𝑖𝑓</m:t>
                              </m:r>
                              <m:r>
                                <a:rPr lang="en-US" sz="1100" b="0" i="1">
                                  <a:solidFill>
                                    <a:schemeClr val="tx1"/>
                                  </a:solidFill>
                                  <a:effectLst/>
                                  <a:latin typeface="Cambria Math" panose="02040503050406030204" pitchFamily="18" charset="0"/>
                                  <a:ea typeface="+mn-ea"/>
                                  <a:cs typeface="+mn-cs"/>
                                </a:rPr>
                                <m:t> </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𝐾</m:t>
                                  </m:r>
                                </m:e>
                                <m:sub>
                                  <m:r>
                                    <a:rPr lang="en-US" sz="1100" b="0" i="1">
                                      <a:solidFill>
                                        <a:schemeClr val="tx1"/>
                                      </a:solidFill>
                                      <a:effectLst/>
                                      <a:latin typeface="Cambria Math" panose="02040503050406030204" pitchFamily="18" charset="0"/>
                                      <a:ea typeface="+mn-ea"/>
                                      <a:cs typeface="+mn-cs"/>
                                    </a:rPr>
                                    <m:t>𝐴</m:t>
                                  </m:r>
                                </m:sub>
                              </m:sSub>
                              <m:r>
                                <a:rPr lang="en-US" sz="1100" b="0" i="1">
                                  <a:solidFill>
                                    <a:schemeClr val="tx1"/>
                                  </a:solidFill>
                                  <a:effectLst/>
                                  <a:latin typeface="Cambria Math" panose="02040503050406030204" pitchFamily="18" charset="0"/>
                                  <a:ea typeface="+mn-ea"/>
                                  <a:cs typeface="+mn-cs"/>
                                </a:rPr>
                                <m:t>≥4%</m:t>
                              </m:r>
                            </m:e>
                          </m:mr>
                        </m:m>
                      </m:e>
                    </m:d>
                  </m:oMath>
                </m:oMathPara>
              </a14:m>
              <a:endParaRPr lang="en-US" sz="1100">
                <a:solidFill>
                  <a:schemeClr val="tx1"/>
                </a:solidFill>
                <a:effectLst/>
                <a:latin typeface="+mn-lt"/>
                <a:ea typeface="+mn-ea"/>
                <a:cs typeface="+mn-cs"/>
              </a:endParaRPr>
            </a:p>
          </xdr:txBody>
        </xdr:sp>
      </mc:Choice>
      <mc:Fallback xmlns="">
        <xdr:sp macro="" textlink="">
          <xdr:nvSpPr>
            <xdr:cNvPr id="37" name="TextBox 36">
              <a:extLst>
                <a:ext uri="{FF2B5EF4-FFF2-40B4-BE49-F238E27FC236}">
                  <a16:creationId xmlns:a16="http://schemas.microsoft.com/office/drawing/2014/main" id="{4CAFD085-8646-4B80-92F6-93D9E787ADB8}"/>
                </a:ext>
              </a:extLst>
            </xdr:cNvPr>
            <xdr:cNvSpPr txBox="1"/>
          </xdr:nvSpPr>
          <xdr:spPr>
            <a:xfrm>
              <a:off x="6502400" y="49466500"/>
              <a:ext cx="4614725" cy="5404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chemeClr val="tx1"/>
                  </a:solidFill>
                  <a:effectLst/>
                  <a:latin typeface="Cambria Math" panose="02040503050406030204" pitchFamily="18" charset="0"/>
                  <a:ea typeface="+mn-ea"/>
                  <a:cs typeface="+mn-cs"/>
                </a:rPr>
                <a:t>2020 𝐸𝑅𝐶𝐹 𝑂𝐸𝐴_%={■8(100% 𝑖𝑓 𝐾_𝐴≤1.6%@100%∗(1.06667−4.16667∗𝐾_𝐴 )  𝑖𝑓1.6%&lt;𝐾_𝐴&lt;4%@90% 𝑖𝑓 𝐾_𝐴≥4%)┤</a:t>
              </a:r>
              <a:endParaRPr lang="en-US" sz="1100">
                <a:solidFill>
                  <a:schemeClr val="tx1"/>
                </a:solidFill>
                <a:effectLst/>
                <a:latin typeface="+mn-lt"/>
                <a:ea typeface="+mn-ea"/>
                <a:cs typeface="+mn-cs"/>
              </a:endParaRPr>
            </a:p>
          </xdr:txBody>
        </xdr:sp>
      </mc:Fallback>
    </mc:AlternateContent>
    <xdr:clientData/>
  </xdr:oneCellAnchor>
  <xdr:oneCellAnchor>
    <xdr:from>
      <xdr:col>5</xdr:col>
      <xdr:colOff>241300</xdr:colOff>
      <xdr:row>74</xdr:row>
      <xdr:rowOff>133350</xdr:rowOff>
    </xdr:from>
    <xdr:ext cx="7439088" cy="766107"/>
    <mc:AlternateContent xmlns:mc="http://schemas.openxmlformats.org/markup-compatibility/2006" xmlns:a14="http://schemas.microsoft.com/office/drawing/2010/main">
      <mc:Choice Requires="a14">
        <xdr:sp macro="" textlink="">
          <xdr:nvSpPr>
            <xdr:cNvPr id="38" name="TextBox 37">
              <a:extLst>
                <a:ext uri="{FF2B5EF4-FFF2-40B4-BE49-F238E27FC236}">
                  <a16:creationId xmlns:a16="http://schemas.microsoft.com/office/drawing/2014/main" id="{829E6F18-D7FF-4EA8-A688-2C122D1A23B3}"/>
                </a:ext>
              </a:extLst>
            </xdr:cNvPr>
            <xdr:cNvSpPr txBox="1"/>
          </xdr:nvSpPr>
          <xdr:spPr>
            <a:xfrm>
              <a:off x="6610350" y="30505400"/>
              <a:ext cx="7439088"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solidFill>
                          <a:schemeClr val="tx1"/>
                        </a:solidFill>
                        <a:effectLst/>
                        <a:latin typeface="Cambria Math" panose="02040503050406030204" pitchFamily="18" charset="0"/>
                        <a:ea typeface="+mn-ea"/>
                        <a:cs typeface="+mn-cs"/>
                      </a:rPr>
                      <m:t>𝑅</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𝑊</m:t>
                        </m:r>
                      </m:e>
                      <m:sub>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d>
                      <m:dPr>
                        <m:begChr m:val="{"/>
                        <m:endChr m:val=""/>
                        <m:ctrlPr>
                          <a:rPr lang="en-US" sz="1100" i="1">
                            <a:solidFill>
                              <a:schemeClr val="tx1"/>
                            </a:solidFill>
                            <a:effectLst/>
                            <a:latin typeface="Cambria Math" panose="02040503050406030204" pitchFamily="18" charset="0"/>
                            <a:ea typeface="+mn-ea"/>
                            <a:cs typeface="+mn-cs"/>
                          </a:rPr>
                        </m:ctrlPr>
                      </m:dPr>
                      <m:e>
                        <m:m>
                          <m:mPr>
                            <m:mcs>
                              <m:mc>
                                <m:mcPr>
                                  <m:count m:val="1"/>
                                  <m:mcJc m:val="center"/>
                                </m:mcPr>
                              </m:mc>
                            </m:mcs>
                            <m:ctrlPr>
                              <a:rPr lang="en-US" sz="1100" i="1">
                                <a:solidFill>
                                  <a:schemeClr val="tx1"/>
                                </a:solidFill>
                                <a:effectLst/>
                                <a:latin typeface="Cambria Math" panose="02040503050406030204" pitchFamily="18" charset="0"/>
                                <a:ea typeface="+mn-ea"/>
                                <a:cs typeface="+mn-cs"/>
                              </a:rPr>
                            </m:ctrlPr>
                          </m:mPr>
                          <m:mr>
                            <m:e>
                              <m:r>
                                <a:rPr lang="en-US" sz="1100" i="1">
                                  <a:solidFill>
                                    <a:schemeClr val="tx1"/>
                                  </a:solidFill>
                                  <a:effectLst/>
                                  <a:latin typeface="Cambria Math" panose="02040503050406030204" pitchFamily="18" charset="0"/>
                                  <a:ea typeface="+mn-ea"/>
                                  <a:cs typeface="+mn-cs"/>
                                </a:rPr>
                                <m:t>1,250%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r>
                            <m:e>
                              <m:r>
                                <a:rPr lang="en-US" sz="1100" b="0" i="1">
                                  <a:solidFill>
                                    <a:schemeClr val="tx1"/>
                                  </a:solidFill>
                                  <a:effectLst/>
                                  <a:latin typeface="Cambria Math" panose="02040503050406030204" pitchFamily="18" charset="0"/>
                                  <a:ea typeface="+mn-ea"/>
                                  <a:cs typeface="+mn-cs"/>
                                </a:rPr>
                                <m:t>𝑀𝑖𝑛𝑅𝑊</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e>
                          </m:mr>
                          <m:mr>
                            <m:e>
                              <m:r>
                                <m:rPr>
                                  <m:sty m:val="p"/>
                                </m:rPr>
                                <a:rPr lang="en-US" sz="1100" b="0" i="0">
                                  <a:solidFill>
                                    <a:schemeClr val="tx1"/>
                                  </a:solidFill>
                                  <a:effectLst/>
                                  <a:latin typeface="Cambria Math" panose="02040503050406030204" pitchFamily="18" charset="0"/>
                                  <a:ea typeface="+mn-ea"/>
                                  <a:cs typeface="+mn-cs"/>
                                </a:rPr>
                                <m:t>max</m:t>
                              </m:r>
                              <m:r>
                                <a:rPr lang="en-US" sz="1100" b="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1250%∗</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r>
                                <a:rPr lang="en-US" sz="1100" b="0" i="1">
                                  <a:solidFill>
                                    <a:schemeClr val="tx1"/>
                                  </a:solidFill>
                                  <a:effectLst/>
                                  <a:latin typeface="Cambria Math" panose="02040503050406030204" pitchFamily="18" charset="0"/>
                                  <a:ea typeface="+mn-ea"/>
                                  <a:cs typeface="+mn-cs"/>
                                </a:rPr>
                                <m:t>+</m:t>
                              </m:r>
                              <m:r>
                                <a:rPr lang="en-US" sz="1100" b="0" i="1">
                                  <a:solidFill>
                                    <a:schemeClr val="tx1"/>
                                  </a:solidFill>
                                  <a:effectLst/>
                                  <a:latin typeface="Cambria Math" panose="02040503050406030204" pitchFamily="18" charset="0"/>
                                  <a:ea typeface="+mn-ea"/>
                                  <a:cs typeface="+mn-cs"/>
                                </a:rPr>
                                <m:t>𝑀𝑖𝑛𝑅𝑊</m:t>
                              </m:r>
                              <m:r>
                                <a:rPr lang="en-US" sz="1100" b="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f>
                                    <m:fPr>
                                      <m:ctrlPr>
                                        <a:rPr lang="en-US" sz="110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𝐷</m:t>
                                      </m:r>
                                      <m:r>
                                        <a:rPr lang="en-US" sz="1100" b="0" i="1">
                                          <a:solidFill>
                                            <a:schemeClr val="tx1"/>
                                          </a:solidFill>
                                          <a:effectLst/>
                                          <a:latin typeface="Cambria Math" panose="02040503050406030204" pitchFamily="18" charset="0"/>
                                          <a:ea typeface="+mn-ea"/>
                                          <a:cs typeface="+mn-cs"/>
                                        </a:rPr>
                                        <m:t>−</m:t>
                                      </m:r>
                                      <m:d>
                                        <m:dPr>
                                          <m:ctrlPr>
                                            <a:rPr lang="en-US" sz="1100" b="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e>
                                      </m:d>
                                    </m:num>
                                    <m:den>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m:t>
                                      </m:r>
                                    </m:den>
                                  </m:f>
                                </m:e>
                              </m:d>
                              <m:r>
                                <a:rPr lang="en-US" sz="1100" b="0" i="1">
                                  <a:solidFill>
                                    <a:schemeClr val="tx1"/>
                                  </a:solidFill>
                                  <a:effectLst/>
                                  <a:latin typeface="Cambria Math" panose="02040503050406030204" pitchFamily="18" charset="0"/>
                                  <a:ea typeface="+mn-ea"/>
                                  <a:cs typeface="+mn-cs"/>
                                </a:rPr>
                                <m:t>,10%)</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𝑖𝑓</m:t>
                              </m:r>
                              <m:r>
                                <a:rPr lang="en-US" sz="110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𝐴</m:t>
                              </m:r>
                              <m:r>
                                <a:rPr lang="en-US" sz="1100" i="1">
                                  <a:solidFill>
                                    <a:schemeClr val="tx1"/>
                                  </a:solidFill>
                                  <a:effectLst/>
                                  <a:latin typeface="Cambria Math" panose="02040503050406030204" pitchFamily="18" charset="0"/>
                                  <a:ea typeface="+mn-ea"/>
                                  <a:cs typeface="+mn-cs"/>
                                </a:rPr>
                                <m:t>&lt;</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𝐾</m:t>
                                  </m:r>
                                </m:e>
                                <m:sub>
                                  <m:r>
                                    <a:rPr lang="en-US" sz="1100" i="1">
                                      <a:solidFill>
                                        <a:schemeClr val="tx1"/>
                                      </a:solidFill>
                                      <a:effectLst/>
                                      <a:latin typeface="Cambria Math" panose="02040503050406030204" pitchFamily="18" charset="0"/>
                                      <a:ea typeface="+mn-ea"/>
                                      <a:cs typeface="+mn-cs"/>
                                    </a:rPr>
                                    <m:t>𝐴</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𝐴𝑔𝑔𝐸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𝐿</m:t>
                                  </m:r>
                                </m:e>
                                <m:sub>
                                  <m:r>
                                    <a:rPr lang="en-US" sz="1100" i="1">
                                      <a:solidFill>
                                        <a:schemeClr val="tx1"/>
                                      </a:solidFill>
                                      <a:effectLst/>
                                      <a:latin typeface="Cambria Math" panose="02040503050406030204" pitchFamily="18" charset="0"/>
                                      <a:ea typeface="+mn-ea"/>
                                      <a:cs typeface="+mn-cs"/>
                                    </a:rPr>
                                    <m:t>%</m:t>
                                  </m:r>
                                </m:sub>
                              </m:sSub>
                              <m:r>
                                <a:rPr lang="en-US" sz="1100" i="1">
                                  <a:solidFill>
                                    <a:schemeClr val="tx1"/>
                                  </a:solidFill>
                                  <a:effectLst/>
                                  <a:latin typeface="Cambria Math" panose="02040503050406030204" pitchFamily="18" charset="0"/>
                                  <a:ea typeface="+mn-ea"/>
                                  <a:cs typeface="+mn-cs"/>
                                </a:rPr>
                                <m:t>&lt;</m:t>
                              </m:r>
                              <m:r>
                                <a:rPr lang="en-US" sz="1100" i="1">
                                  <a:solidFill>
                                    <a:schemeClr val="tx1"/>
                                  </a:solidFill>
                                  <a:effectLst/>
                                  <a:latin typeface="Cambria Math" panose="02040503050406030204" pitchFamily="18" charset="0"/>
                                  <a:ea typeface="+mn-ea"/>
                                  <a:cs typeface="+mn-cs"/>
                                </a:rPr>
                                <m:t>𝐷</m:t>
                              </m:r>
                              <m:r>
                                <a:rPr lang="en-US" sz="1100" i="1">
                                  <a:solidFill>
                                    <a:schemeClr val="tx1"/>
                                  </a:solidFill>
                                  <a:effectLst/>
                                  <a:latin typeface="Cambria Math" panose="02040503050406030204" pitchFamily="18" charset="0"/>
                                  <a:ea typeface="+mn-ea"/>
                                  <a:cs typeface="+mn-cs"/>
                                </a:rPr>
                                <m:t> </m:t>
                              </m:r>
                            </m:e>
                          </m:mr>
                        </m:m>
                      </m:e>
                    </m:d>
                  </m:oMath>
                </m:oMathPara>
              </a14:m>
              <a:endParaRPr lang="en-US" sz="1100">
                <a:solidFill>
                  <a:schemeClr val="tx1"/>
                </a:solidFill>
                <a:effectLst/>
                <a:latin typeface="+mn-lt"/>
                <a:ea typeface="+mn-ea"/>
                <a:cs typeface="+mn-cs"/>
              </a:endParaRPr>
            </a:p>
          </xdr:txBody>
        </xdr:sp>
      </mc:Choice>
      <mc:Fallback xmlns="">
        <xdr:sp macro="" textlink="">
          <xdr:nvSpPr>
            <xdr:cNvPr id="38" name="TextBox 37">
              <a:extLst>
                <a:ext uri="{FF2B5EF4-FFF2-40B4-BE49-F238E27FC236}">
                  <a16:creationId xmlns:a16="http://schemas.microsoft.com/office/drawing/2014/main" id="{829E6F18-D7FF-4EA8-A688-2C122D1A23B3}"/>
                </a:ext>
              </a:extLst>
            </xdr:cNvPr>
            <xdr:cNvSpPr txBox="1"/>
          </xdr:nvSpPr>
          <xdr:spPr>
            <a:xfrm>
              <a:off x="6610350" y="30505400"/>
              <a:ext cx="7439088" cy="7661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solidFill>
                    <a:schemeClr val="tx1"/>
                  </a:solidFill>
                  <a:effectLst/>
                  <a:latin typeface="Cambria Math" panose="02040503050406030204" pitchFamily="18" charset="0"/>
                  <a:ea typeface="+mn-ea"/>
                  <a:cs typeface="+mn-cs"/>
                </a:rPr>
                <a:t>𝑅𝑊_(%, 𝑇𝑟𝑎𝑛𝑐ℎ𝑒)={■8(1,250% 𝑖𝑓 𝐾_𝐴+𝐴𝑔𝑔𝐸𝐿_%≥𝐷 @</a:t>
              </a:r>
              <a:r>
                <a:rPr lang="en-US" sz="1100" b="0" i="0">
                  <a:solidFill>
                    <a:schemeClr val="tx1"/>
                  </a:solidFill>
                  <a:effectLst/>
                  <a:latin typeface="Cambria Math" panose="02040503050406030204" pitchFamily="18" charset="0"/>
                  <a:ea typeface="+mn-ea"/>
                  <a:cs typeface="+mn-cs"/>
                </a:rPr>
                <a:t>𝑀𝑖𝑛𝑅𝑊</a:t>
              </a:r>
              <a:r>
                <a:rPr lang="en-US" sz="1100" i="0">
                  <a:solidFill>
                    <a:schemeClr val="tx1"/>
                  </a:solidFill>
                  <a:effectLst/>
                  <a:latin typeface="Cambria Math" panose="02040503050406030204" pitchFamily="18" charset="0"/>
                  <a:ea typeface="+mn-ea"/>
                  <a:cs typeface="+mn-cs"/>
                </a:rPr>
                <a:t> 𝑖𝑓 𝐾_𝐴+𝐴𝑔𝑔𝐸𝐿_%≤𝐴@</a:t>
              </a:r>
              <a:r>
                <a:rPr lang="en-US" sz="1100" b="0" i="0">
                  <a:solidFill>
                    <a:schemeClr val="tx1"/>
                  </a:solidFill>
                  <a:effectLst/>
                  <a:latin typeface="Cambria Math" panose="02040503050406030204" pitchFamily="18" charset="0"/>
                  <a:ea typeface="+mn-ea"/>
                  <a:cs typeface="+mn-cs"/>
                </a:rPr>
                <a:t>max⁡(</a:t>
              </a:r>
              <a:r>
                <a:rPr lang="en-US" sz="1100" i="0">
                  <a:solidFill>
                    <a:schemeClr val="tx1"/>
                  </a:solidFill>
                  <a:effectLst/>
                  <a:latin typeface="Cambria Math" panose="02040503050406030204" pitchFamily="18" charset="0"/>
                  <a:ea typeface="+mn-ea"/>
                  <a:cs typeface="+mn-cs"/>
                </a:rPr>
                <a:t>1250%∗((𝐾_𝐴+𝐴𝑔𝑔𝐸𝐿_%−𝐴)/(𝐷−𝐴))</a:t>
              </a:r>
              <a:r>
                <a:rPr lang="en-US" sz="1100" b="0" i="0">
                  <a:solidFill>
                    <a:schemeClr val="tx1"/>
                  </a:solidFill>
                  <a:effectLst/>
                  <a:latin typeface="Cambria Math" panose="02040503050406030204" pitchFamily="18" charset="0"/>
                  <a:ea typeface="+mn-ea"/>
                  <a:cs typeface="+mn-cs"/>
                </a:rPr>
                <a:t>+𝑀𝑖𝑛𝑅𝑊∗((𝐷−(</a:t>
              </a:r>
              <a:r>
                <a:rPr lang="en-US" sz="1100" i="0">
                  <a:solidFill>
                    <a:schemeClr val="tx1"/>
                  </a:solidFill>
                  <a:effectLst/>
                  <a:latin typeface="Cambria Math" panose="02040503050406030204" pitchFamily="18" charset="0"/>
                  <a:ea typeface="+mn-ea"/>
                  <a:cs typeface="+mn-cs"/>
                </a:rPr>
                <a:t>𝐾_𝐴+𝐴𝑔𝑔𝐸𝐿_% ))/(𝐷−𝐴))</a:t>
              </a:r>
              <a:r>
                <a:rPr lang="en-US" sz="1100" b="0" i="0">
                  <a:solidFill>
                    <a:schemeClr val="tx1"/>
                  </a:solidFill>
                  <a:effectLst/>
                  <a:latin typeface="Cambria Math" panose="02040503050406030204" pitchFamily="18" charset="0"/>
                  <a:ea typeface="+mn-ea"/>
                  <a:cs typeface="+mn-cs"/>
                </a:rPr>
                <a:t>,10%)</a:t>
              </a:r>
              <a:r>
                <a:rPr lang="en-US" sz="1100" i="0">
                  <a:solidFill>
                    <a:schemeClr val="tx1"/>
                  </a:solidFill>
                  <a:effectLst/>
                  <a:latin typeface="Cambria Math" panose="02040503050406030204" pitchFamily="18" charset="0"/>
                  <a:ea typeface="+mn-ea"/>
                  <a:cs typeface="+mn-cs"/>
                </a:rPr>
                <a:t> 𝑖𝑓 𝐴&lt;𝐾_𝐴+𝐴𝑔𝑔𝐸𝐿_%&lt;𝐷 )┤</a:t>
              </a:r>
              <a:endParaRPr lang="en-US" sz="1100">
                <a:solidFill>
                  <a:schemeClr val="tx1"/>
                </a:solidFill>
                <a:effectLst/>
                <a:latin typeface="+mn-lt"/>
                <a:ea typeface="+mn-ea"/>
                <a:cs typeface="+mn-cs"/>
              </a:endParaRPr>
            </a:p>
          </xdr:txBody>
        </xdr:sp>
      </mc:Fallback>
    </mc:AlternateContent>
    <xdr:clientData/>
  </xdr:oneCellAnchor>
  <xdr:oneCellAnchor>
    <xdr:from>
      <xdr:col>5</xdr:col>
      <xdr:colOff>171450</xdr:colOff>
      <xdr:row>180</xdr:row>
      <xdr:rowOff>33867</xdr:rowOff>
    </xdr:from>
    <xdr:ext cx="3115853" cy="357342"/>
    <mc:AlternateContent xmlns:mc="http://schemas.openxmlformats.org/markup-compatibility/2006" xmlns:a14="http://schemas.microsoft.com/office/drawing/2010/main">
      <mc:Choice Requires="a14">
        <xdr:sp macro="" textlink="">
          <xdr:nvSpPr>
            <xdr:cNvPr id="40" name="TextBox 39">
              <a:extLst>
                <a:ext uri="{FF2B5EF4-FFF2-40B4-BE49-F238E27FC236}">
                  <a16:creationId xmlns:a16="http://schemas.microsoft.com/office/drawing/2014/main" id="{7BCB230C-11E6-4292-A539-F2531D7089FF}"/>
                </a:ext>
              </a:extLst>
            </xdr:cNvPr>
            <xdr:cNvSpPr txBox="1"/>
          </xdr:nvSpPr>
          <xdr:spPr>
            <a:xfrm>
              <a:off x="6540500" y="61158967"/>
              <a:ext cx="3115853" cy="3573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Cambria Math" panose="02040503050406030204" pitchFamily="18" charset="0"/>
                        <a:cs typeface="+mn-cs"/>
                      </a:rPr>
                      <m:t>∆</m:t>
                    </m:r>
                    <m:r>
                      <a:rPr lang="en-US" sz="1100" b="0" i="1">
                        <a:solidFill>
                          <a:sysClr val="windowText" lastClr="000000"/>
                        </a:solidFill>
                        <a:effectLst/>
                        <a:latin typeface="Cambria Math" panose="02040503050406030204" pitchFamily="18" charset="0"/>
                        <a:ea typeface="Cambria Math" panose="02040503050406030204" pitchFamily="18" charset="0"/>
                        <a:cs typeface="+mn-cs"/>
                      </a:rPr>
                      <m:t>𝑅𝑊𝐴𝑅𝑒𝑙𝑖𝑒𝑓</m:t>
                    </m:r>
                    <m:r>
                      <a:rPr lang="en-US" sz="1100" b="0" i="1">
                        <a:solidFill>
                          <a:sysClr val="windowText" lastClr="000000"/>
                        </a:solidFill>
                        <a:effectLst/>
                        <a:latin typeface="Cambria Math" panose="02040503050406030204" pitchFamily="18" charset="0"/>
                        <a:ea typeface="+mn-ea"/>
                        <a:cs typeface="+mn-cs"/>
                      </a:rPr>
                      <m:t>=</m:t>
                    </m:r>
                    <m:f>
                      <m:fPr>
                        <m:ctrlPr>
                          <a:rPr lang="en-US" sz="1100" b="0" i="1">
                            <a:solidFill>
                              <a:schemeClr val="tx1"/>
                            </a:solidFill>
                            <a:effectLst/>
                            <a:latin typeface="Cambria Math" panose="02040503050406030204" pitchFamily="18" charset="0"/>
                            <a:ea typeface="+mn-ea"/>
                            <a:cs typeface="+mn-cs"/>
                          </a:rPr>
                        </m:ctrlPr>
                      </m:fPr>
                      <m:num>
                        <m:r>
                          <a:rPr lang="en-US" sz="1100" b="0" i="1">
                            <a:solidFill>
                              <a:schemeClr val="tx1"/>
                            </a:solidFill>
                            <a:effectLst/>
                            <a:latin typeface="Cambria Math" panose="02040503050406030204" pitchFamily="18" charset="0"/>
                            <a:ea typeface="+mn-ea"/>
                            <a:cs typeface="+mn-cs"/>
                          </a:rPr>
                          <m:t>𝑅𝑊𝐴𝑅𝑒𝑙𝑖𝑒</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𝑓</m:t>
                            </m:r>
                          </m:e>
                          <m:sub>
                            <m:r>
                              <a:rPr lang="en-US" sz="1100" b="0" i="1">
                                <a:solidFill>
                                  <a:schemeClr val="tx1"/>
                                </a:solidFill>
                                <a:effectLst/>
                                <a:latin typeface="Cambria Math" panose="02040503050406030204" pitchFamily="18" charset="0"/>
                                <a:ea typeface="+mn-ea"/>
                                <a:cs typeface="+mn-cs"/>
                              </a:rPr>
                              <m:t>$</m:t>
                            </m:r>
                          </m:sub>
                        </m:sSub>
                        <m:r>
                          <a:rPr lang="en-US" sz="1100" b="0" i="1">
                            <a:solidFill>
                              <a:schemeClr val="tx1"/>
                            </a:solidFill>
                            <a:effectLst/>
                            <a:latin typeface="Cambria Math" panose="02040503050406030204" pitchFamily="18" charset="0"/>
                            <a:ea typeface="+mn-ea"/>
                            <a:cs typeface="+mn-cs"/>
                          </a:rPr>
                          <m:t> 2021 </m:t>
                        </m:r>
                        <m:r>
                          <a:rPr lang="en-US" sz="1100" b="0" i="1">
                            <a:solidFill>
                              <a:schemeClr val="tx1"/>
                            </a:solidFill>
                            <a:effectLst/>
                            <a:latin typeface="Cambria Math" panose="02040503050406030204" pitchFamily="18" charset="0"/>
                            <a:ea typeface="+mn-ea"/>
                            <a:cs typeface="+mn-cs"/>
                          </a:rPr>
                          <m:t>𝑃𝑟𝑜𝑝𝑜𝑠𝑎𝑙</m:t>
                        </m:r>
                      </m:num>
                      <m:den>
                        <m:r>
                          <a:rPr lang="en-US" sz="1100" b="0" i="1">
                            <a:solidFill>
                              <a:schemeClr val="tx1"/>
                            </a:solidFill>
                            <a:effectLst/>
                            <a:latin typeface="Cambria Math" panose="02040503050406030204" pitchFamily="18" charset="0"/>
                            <a:ea typeface="+mn-ea"/>
                            <a:cs typeface="+mn-cs"/>
                          </a:rPr>
                          <m:t>𝑅𝑊𝐴𝑅𝑒𝑙𝑖𝑒</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𝑓</m:t>
                            </m:r>
                          </m:e>
                          <m:sub>
                            <m:r>
                              <a:rPr lang="en-US" sz="1100" b="0" i="1">
                                <a:solidFill>
                                  <a:schemeClr val="tx1"/>
                                </a:solidFill>
                                <a:effectLst/>
                                <a:latin typeface="Cambria Math" panose="02040503050406030204" pitchFamily="18" charset="0"/>
                                <a:ea typeface="+mn-ea"/>
                                <a:cs typeface="+mn-cs"/>
                              </a:rPr>
                              <m:t>$</m:t>
                            </m:r>
                          </m:sub>
                        </m:sSub>
                        <m:r>
                          <a:rPr lang="en-US" sz="1100" b="0" i="1">
                            <a:solidFill>
                              <a:schemeClr val="tx1"/>
                            </a:solidFill>
                            <a:effectLst/>
                            <a:latin typeface="Cambria Math" panose="02040503050406030204" pitchFamily="18" charset="0"/>
                            <a:ea typeface="+mn-ea"/>
                            <a:cs typeface="+mn-cs"/>
                          </a:rPr>
                          <m:t> 2020 </m:t>
                        </m:r>
                        <m:r>
                          <a:rPr lang="en-US" sz="1100" b="0" i="1">
                            <a:solidFill>
                              <a:schemeClr val="tx1"/>
                            </a:solidFill>
                            <a:effectLst/>
                            <a:latin typeface="Cambria Math" panose="02040503050406030204" pitchFamily="18" charset="0"/>
                            <a:ea typeface="+mn-ea"/>
                            <a:cs typeface="+mn-cs"/>
                          </a:rPr>
                          <m:t>𝐸𝑅𝐶𝐹</m:t>
                        </m:r>
                      </m:den>
                    </m:f>
                    <m:r>
                      <a:rPr lang="en-US" sz="1100" b="0" i="1">
                        <a:solidFill>
                          <a:schemeClr val="tx1"/>
                        </a:solidFill>
                        <a:effectLst/>
                        <a:latin typeface="Cambria Math" panose="02040503050406030204" pitchFamily="18" charset="0"/>
                        <a:ea typeface="+mn-ea"/>
                        <a:cs typeface="+mn-cs"/>
                      </a:rPr>
                      <m:t>−1</m:t>
                    </m:r>
                    <m:r>
                      <a:rPr lang="en-US" sz="1100" b="0" i="1">
                        <a:solidFill>
                          <a:sysClr val="windowText" lastClr="000000"/>
                        </a:solidFill>
                        <a:effectLst/>
                        <a:latin typeface="Cambria Math" panose="02040503050406030204" pitchFamily="18" charset="0"/>
                        <a:ea typeface="+mn-ea"/>
                        <a:cs typeface="+mn-cs"/>
                      </a:rPr>
                      <m:t> </m:t>
                    </m:r>
                  </m:oMath>
                </m:oMathPara>
              </a14:m>
              <a:endParaRPr lang="en-US" sz="1100" b="0">
                <a:solidFill>
                  <a:sysClr val="windowText" lastClr="000000"/>
                </a:solidFill>
                <a:effectLst/>
                <a:latin typeface="+mn-lt"/>
                <a:ea typeface="+mn-ea"/>
                <a:cs typeface="+mn-cs"/>
              </a:endParaRPr>
            </a:p>
          </xdr:txBody>
        </xdr:sp>
      </mc:Choice>
      <mc:Fallback xmlns="">
        <xdr:sp macro="" textlink="">
          <xdr:nvSpPr>
            <xdr:cNvPr id="40" name="TextBox 39">
              <a:extLst>
                <a:ext uri="{FF2B5EF4-FFF2-40B4-BE49-F238E27FC236}">
                  <a16:creationId xmlns:a16="http://schemas.microsoft.com/office/drawing/2014/main" id="{7BCB230C-11E6-4292-A539-F2531D7089FF}"/>
                </a:ext>
              </a:extLst>
            </xdr:cNvPr>
            <xdr:cNvSpPr txBox="1"/>
          </xdr:nvSpPr>
          <xdr:spPr>
            <a:xfrm>
              <a:off x="6540500" y="61158967"/>
              <a:ext cx="3115853" cy="3573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effectLst/>
                  <a:latin typeface="Cambria Math" panose="02040503050406030204" pitchFamily="18" charset="0"/>
                  <a:ea typeface="Cambria Math" panose="02040503050406030204" pitchFamily="18" charset="0"/>
                  <a:cs typeface="+mn-cs"/>
                </a:rPr>
                <a:t>∆𝑅𝑊𝐴𝑅𝑒𝑙𝑖𝑒𝑓</a:t>
              </a:r>
              <a:r>
                <a:rPr lang="en-US" sz="1100" b="0" i="0">
                  <a:solidFill>
                    <a:sysClr val="windowText" lastClr="000000"/>
                  </a:solidFill>
                  <a:effectLst/>
                  <a:latin typeface="Cambria Math" panose="02040503050406030204" pitchFamily="18" charset="0"/>
                  <a:ea typeface="+mn-ea"/>
                  <a:cs typeface="+mn-cs"/>
                </a:rPr>
                <a:t>=</a:t>
              </a:r>
              <a:r>
                <a:rPr lang="en-US" sz="1100" b="0" i="0">
                  <a:solidFill>
                    <a:schemeClr val="tx1"/>
                  </a:solidFill>
                  <a:effectLst/>
                  <a:latin typeface="Cambria Math" panose="02040503050406030204" pitchFamily="18" charset="0"/>
                  <a:ea typeface="+mn-ea"/>
                  <a:cs typeface="+mn-cs"/>
                </a:rPr>
                <a:t>(</a:t>
              </a:r>
              <a:r>
                <a:rPr lang="en-US" sz="1100" b="0" i="0">
                  <a:solidFill>
                    <a:schemeClr val="tx1"/>
                  </a:solidFill>
                  <a:effectLst/>
                  <a:latin typeface="+mn-lt"/>
                  <a:ea typeface="+mn-ea"/>
                  <a:cs typeface="+mn-cs"/>
                </a:rPr>
                <a:t>𝑅𝑊𝐴𝑅𝑒𝑙𝑖𝑒𝑓_$</a:t>
              </a:r>
              <a:r>
                <a:rPr lang="en-US" sz="1100" b="0" i="0">
                  <a:solidFill>
                    <a:schemeClr val="tx1"/>
                  </a:solidFill>
                  <a:effectLst/>
                  <a:latin typeface="Cambria Math" panose="02040503050406030204" pitchFamily="18" charset="0"/>
                  <a:ea typeface="+mn-ea"/>
                  <a:cs typeface="+mn-cs"/>
                </a:rPr>
                <a:t>  2021 𝑃𝑟𝑜𝑝𝑜𝑠𝑎𝑙)/(</a:t>
              </a:r>
              <a:r>
                <a:rPr lang="en-US" sz="1100" b="0" i="0">
                  <a:solidFill>
                    <a:schemeClr val="tx1"/>
                  </a:solidFill>
                  <a:effectLst/>
                  <a:latin typeface="+mn-lt"/>
                  <a:ea typeface="+mn-ea"/>
                  <a:cs typeface="+mn-cs"/>
                </a:rPr>
                <a:t>𝑅𝑊𝐴𝑅𝑒𝑙𝑖𝑒𝑓_$</a:t>
              </a:r>
              <a:r>
                <a:rPr lang="en-US" sz="1100" b="0" i="0">
                  <a:solidFill>
                    <a:schemeClr val="tx1"/>
                  </a:solidFill>
                  <a:effectLst/>
                  <a:latin typeface="Cambria Math" panose="02040503050406030204" pitchFamily="18" charset="0"/>
                  <a:ea typeface="+mn-ea"/>
                  <a:cs typeface="+mn-cs"/>
                </a:rPr>
                <a:t>  2020 𝐸𝑅𝐶𝐹)−1</a:t>
              </a:r>
              <a:r>
                <a:rPr lang="en-US" sz="1100" b="0" i="0">
                  <a:solidFill>
                    <a:sysClr val="windowText" lastClr="000000"/>
                  </a:solidFill>
                  <a:effectLst/>
                  <a:latin typeface="Cambria Math" panose="02040503050406030204" pitchFamily="18" charset="0"/>
                  <a:ea typeface="+mn-ea"/>
                  <a:cs typeface="+mn-cs"/>
                </a:rPr>
                <a:t> </a:t>
              </a:r>
              <a:endParaRPr lang="en-US" sz="1100" b="0">
                <a:solidFill>
                  <a:sysClr val="windowText" lastClr="000000"/>
                </a:solidFill>
                <a:effectLst/>
                <a:latin typeface="+mn-lt"/>
                <a:ea typeface="+mn-ea"/>
                <a:cs typeface="+mn-cs"/>
              </a:endParaRPr>
            </a:p>
          </xdr:txBody>
        </xdr:sp>
      </mc:Fallback>
    </mc:AlternateContent>
    <xdr:clientData/>
  </xdr:oneCellAnchor>
  <xdr:oneCellAnchor>
    <xdr:from>
      <xdr:col>5</xdr:col>
      <xdr:colOff>19681</xdr:colOff>
      <xdr:row>145</xdr:row>
      <xdr:rowOff>91828</xdr:rowOff>
    </xdr:from>
    <xdr:ext cx="7790819" cy="191078"/>
    <mc:AlternateContent xmlns:mc="http://schemas.openxmlformats.org/markup-compatibility/2006" xmlns:a14="http://schemas.microsoft.com/office/drawing/2010/main">
      <mc:Choice Requires="a14">
        <xdr:sp macro="" textlink="">
          <xdr:nvSpPr>
            <xdr:cNvPr id="42" name="TextBox 41">
              <a:extLst>
                <a:ext uri="{FF2B5EF4-FFF2-40B4-BE49-F238E27FC236}">
                  <a16:creationId xmlns:a16="http://schemas.microsoft.com/office/drawing/2014/main" id="{F86AA89E-066D-4C22-9C6B-2CC2A5C67D61}"/>
                </a:ext>
              </a:extLst>
            </xdr:cNvPr>
            <xdr:cNvSpPr txBox="1"/>
          </xdr:nvSpPr>
          <xdr:spPr>
            <a:xfrm>
              <a:off x="6388731" y="51685578"/>
              <a:ext cx="7790819"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solidFill>
                          <a:schemeClr val="tx1"/>
                        </a:solidFill>
                        <a:effectLst/>
                        <a:latin typeface="Cambria Math" panose="02040503050406030204" pitchFamily="18" charset="0"/>
                        <a:ea typeface="+mn-ea"/>
                        <a:cs typeface="+mn-cs"/>
                      </a:rPr>
                      <m:t>2021 </m:t>
                    </m:r>
                    <m:r>
                      <a:rPr lang="en-US" sz="1100" b="0" i="1">
                        <a:solidFill>
                          <a:schemeClr val="tx1"/>
                        </a:solidFill>
                        <a:effectLst/>
                        <a:latin typeface="Cambria Math" panose="02040503050406030204" pitchFamily="18" charset="0"/>
                        <a:ea typeface="+mn-ea"/>
                        <a:cs typeface="+mn-cs"/>
                      </a:rPr>
                      <m:t>𝑃𝑟𝑜𝑝𝑜𝑠𝑎𝑙</m:t>
                    </m:r>
                    <m:r>
                      <a:rPr lang="en-US" sz="1100" b="0" i="1">
                        <a:solidFill>
                          <a:schemeClr val="tx1"/>
                        </a:solidFill>
                        <a:effectLst/>
                        <a:latin typeface="Cambria Math" panose="02040503050406030204" pitchFamily="18" charset="0"/>
                        <a:ea typeface="+mn-ea"/>
                        <a:cs typeface="+mn-cs"/>
                      </a:rPr>
                      <m:t> </m:t>
                    </m:r>
                    <m:r>
                      <a:rPr lang="en-US" sz="1100" i="1">
                        <a:solidFill>
                          <a:schemeClr val="tx1"/>
                        </a:solidFill>
                        <a:effectLst/>
                        <a:latin typeface="Cambria Math" panose="02040503050406030204" pitchFamily="18" charset="0"/>
                        <a:ea typeface="+mn-ea"/>
                        <a:cs typeface="+mn-cs"/>
                      </a:rPr>
                      <m:t>𝐸𝐴</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𝐸</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=100%−</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𝐶</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𝑀</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𝐶𝑀</m:t>
                            </m:r>
                          </m:sub>
                        </m:sSub>
                      </m:e>
                    </m:d>
                    <m:r>
                      <a:rPr lang="en-US"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en-US" sz="1100" i="1">
                            <a:solidFill>
                              <a:schemeClr val="tx1"/>
                            </a:solidFill>
                            <a:effectLst/>
                            <a:latin typeface="Cambria Math" panose="02040503050406030204" pitchFamily="18" charset="0"/>
                            <a:ea typeface="+mn-ea"/>
                            <a:cs typeface="+mn-cs"/>
                          </a:rPr>
                          <m:t>𝐿</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𝑆</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sub>
                        </m:s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𝐿𝑇𝐸</m:t>
                        </m:r>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panose="02040503050406030204" pitchFamily="18" charset="0"/>
                                <a:ea typeface="+mn-ea"/>
                                <a:cs typeface="+mn-cs"/>
                              </a:rPr>
                              <m:t>𝐴</m:t>
                            </m:r>
                          </m:e>
                          <m:sub>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𝑇𝑟𝑎𝑛𝑐h𝑒</m:t>
                            </m:r>
                            <m:r>
                              <a:rPr lang="en-US" sz="1100" i="1">
                                <a:solidFill>
                                  <a:schemeClr val="tx1"/>
                                </a:solidFill>
                                <a:effectLst/>
                                <a:latin typeface="Cambria Math" panose="02040503050406030204" pitchFamily="18" charset="0"/>
                                <a:ea typeface="+mn-ea"/>
                                <a:cs typeface="+mn-cs"/>
                              </a:rPr>
                              <m:t>,</m:t>
                            </m:r>
                            <m:r>
                              <a:rPr lang="en-US" sz="1100" i="1">
                                <a:solidFill>
                                  <a:schemeClr val="tx1"/>
                                </a:solidFill>
                                <a:effectLst/>
                                <a:latin typeface="Cambria Math" panose="02040503050406030204" pitchFamily="18" charset="0"/>
                                <a:ea typeface="+mn-ea"/>
                                <a:cs typeface="+mn-cs"/>
                              </a:rPr>
                              <m:t>𝐿𝑆</m:t>
                            </m:r>
                          </m:sub>
                        </m:sSub>
                      </m:e>
                    </m:d>
                  </m:oMath>
                </m:oMathPara>
              </a14:m>
              <a:endParaRPr lang="en-US" sz="1100">
                <a:solidFill>
                  <a:schemeClr val="tx1"/>
                </a:solidFill>
                <a:effectLst/>
                <a:latin typeface="+mn-lt"/>
                <a:ea typeface="+mn-ea"/>
                <a:cs typeface="+mn-cs"/>
              </a:endParaRPr>
            </a:p>
          </xdr:txBody>
        </xdr:sp>
      </mc:Choice>
      <mc:Fallback xmlns="">
        <xdr:sp macro="" textlink="">
          <xdr:nvSpPr>
            <xdr:cNvPr id="42" name="TextBox 41">
              <a:extLst>
                <a:ext uri="{FF2B5EF4-FFF2-40B4-BE49-F238E27FC236}">
                  <a16:creationId xmlns:a16="http://schemas.microsoft.com/office/drawing/2014/main" id="{F86AA89E-066D-4C22-9C6B-2CC2A5C67D61}"/>
                </a:ext>
              </a:extLst>
            </xdr:cNvPr>
            <xdr:cNvSpPr txBox="1"/>
          </xdr:nvSpPr>
          <xdr:spPr>
            <a:xfrm>
              <a:off x="6388731" y="51685578"/>
              <a:ext cx="7790819" cy="1910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solidFill>
                    <a:schemeClr val="tx1"/>
                  </a:solidFill>
                  <a:effectLst/>
                  <a:latin typeface="Cambria Math" panose="02040503050406030204" pitchFamily="18" charset="0"/>
                  <a:ea typeface="+mn-ea"/>
                  <a:cs typeface="+mn-cs"/>
                </a:rPr>
                <a:t>2021 𝑃𝑟𝑜𝑝𝑜𝑠𝑎𝑙 </a:t>
              </a:r>
              <a:r>
                <a:rPr lang="en-US" sz="1100" i="0">
                  <a:solidFill>
                    <a:schemeClr val="tx1"/>
                  </a:solidFill>
                  <a:effectLst/>
                  <a:latin typeface="Cambria Math" panose="02040503050406030204" pitchFamily="18" charset="0"/>
                  <a:ea typeface="+mn-ea"/>
                  <a:cs typeface="+mn-cs"/>
                </a:rPr>
                <a:t>𝐸𝐴𝐸_(%,𝑇𝑟𝑎𝑛𝑐ℎ𝑒)=100%−(𝐶𝑀_(%,𝑇𝑟𝑎𝑛𝑐ℎ𝑒)∗𝐿𝑇𝐸𝐴_(%,𝑇𝑟𝑎𝑛𝑐ℎ𝑒,𝐶𝑀) )−(𝐿𝑆_(%,𝑇𝑟𝑎𝑛𝑐ℎ𝑒)∗𝐿𝑆𝐸𝐴_(%,𝑇𝑟𝑎𝑛𝑐ℎ𝑒)∗𝐿𝑇𝐸𝐴_(%,𝑇𝑟𝑎𝑛𝑐ℎ𝑒,𝐿𝑆) )</a:t>
              </a:r>
              <a:endParaRPr lang="en-US" sz="1100">
                <a:solidFill>
                  <a:schemeClr val="tx1"/>
                </a:solidFill>
                <a:effectLst/>
                <a:latin typeface="+mn-lt"/>
                <a:ea typeface="+mn-ea"/>
                <a:cs typeface="+mn-cs"/>
              </a:endParaRP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absolute">
    <xdr:from>
      <xdr:col>0</xdr:col>
      <xdr:colOff>25400</xdr:colOff>
      <xdr:row>0</xdr:row>
      <xdr:rowOff>19050</xdr:rowOff>
    </xdr:from>
    <xdr:to>
      <xdr:col>1</xdr:col>
      <xdr:colOff>10086</xdr:colOff>
      <xdr:row>0</xdr:row>
      <xdr:rowOff>649907</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25400" y="19050"/>
          <a:ext cx="594286" cy="630857"/>
        </a:xfrm>
        <a:prstGeom prst="rect">
          <a:avLst/>
        </a:prstGeom>
      </xdr:spPr>
    </xdr:pic>
    <xdr:clientData/>
  </xdr:twoCellAnchor>
  <xdr:twoCellAnchor editAs="absolute">
    <xdr:from>
      <xdr:col>1</xdr:col>
      <xdr:colOff>0</xdr:colOff>
      <xdr:row>0</xdr:row>
      <xdr:rowOff>152400</xdr:rowOff>
    </xdr:from>
    <xdr:to>
      <xdr:col>3</xdr:col>
      <xdr:colOff>301558</xdr:colOff>
      <xdr:row>0</xdr:row>
      <xdr:rowOff>510190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09600" y="152400"/>
          <a:ext cx="2422458"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latin typeface="Times New Roman" panose="02020603050405020304" pitchFamily="18" charset="0"/>
              <a:cs typeface="Times New Roman" panose="02020603050405020304" pitchFamily="18" charset="0"/>
            </a:rPr>
            <a:t>Generic STACR/ACIS</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25400</xdr:colOff>
      <xdr:row>0</xdr:row>
      <xdr:rowOff>31750</xdr:rowOff>
    </xdr:from>
    <xdr:to>
      <xdr:col>1</xdr:col>
      <xdr:colOff>12699</xdr:colOff>
      <xdr:row>1</xdr:row>
      <xdr:rowOff>132533</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25400" y="31750"/>
          <a:ext cx="596899" cy="633631"/>
        </a:xfrm>
        <a:prstGeom prst="rect">
          <a:avLst/>
        </a:prstGeom>
      </xdr:spPr>
    </xdr:pic>
    <xdr:clientData/>
  </xdr:twoCellAnchor>
  <xdr:twoCellAnchor editAs="absolute">
    <xdr:from>
      <xdr:col>1</xdr:col>
      <xdr:colOff>27611</xdr:colOff>
      <xdr:row>0</xdr:row>
      <xdr:rowOff>193260</xdr:rowOff>
    </xdr:from>
    <xdr:to>
      <xdr:col>3</xdr:col>
      <xdr:colOff>673438</xdr:colOff>
      <xdr:row>1</xdr:row>
      <xdr:rowOff>15441</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35002" y="193260"/>
          <a:ext cx="2550827"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latin typeface="Times New Roman" panose="02020603050405020304" pitchFamily="18" charset="0"/>
              <a:cs typeface="Times New Roman" panose="02020603050405020304" pitchFamily="18" charset="0"/>
            </a:rPr>
            <a:t>Generic CAS and CIRT</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0</xdr:row>
      <xdr:rowOff>19050</xdr:rowOff>
    </xdr:from>
    <xdr:to>
      <xdr:col>0</xdr:col>
      <xdr:colOff>615949</xdr:colOff>
      <xdr:row>1</xdr:row>
      <xdr:rowOff>36731</xdr:rowOff>
    </xdr:to>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a:stretch>
          <a:fillRect/>
        </a:stretch>
      </xdr:blipFill>
      <xdr:spPr>
        <a:xfrm>
          <a:off x="19050" y="19050"/>
          <a:ext cx="596899" cy="633631"/>
        </a:xfrm>
        <a:prstGeom prst="rect">
          <a:avLst/>
        </a:prstGeom>
      </xdr:spPr>
    </xdr:pic>
    <xdr:clientData/>
  </xdr:twoCellAnchor>
  <xdr:twoCellAnchor editAs="absolute">
    <xdr:from>
      <xdr:col>0</xdr:col>
      <xdr:colOff>641350</xdr:colOff>
      <xdr:row>0</xdr:row>
      <xdr:rowOff>184150</xdr:rowOff>
    </xdr:from>
    <xdr:to>
      <xdr:col>1</xdr:col>
      <xdr:colOff>1168548</xdr:colOff>
      <xdr:row>0</xdr:row>
      <xdr:rowOff>541940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641350" y="184150"/>
          <a:ext cx="1486048"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latin typeface="Times New Roman" panose="02020603050405020304" pitchFamily="18" charset="0"/>
              <a:cs typeface="Times New Roman" panose="02020603050405020304" pitchFamily="18" charset="0"/>
            </a:rPr>
            <a:t>Generic DUS</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38100</xdr:colOff>
      <xdr:row>6</xdr:row>
      <xdr:rowOff>0</xdr:rowOff>
    </xdr:from>
    <xdr:ext cx="5873750" cy="505267"/>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996950" y="1568450"/>
          <a:ext cx="5873750" cy="5052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400" b="1">
              <a:latin typeface="Times New Roman" panose="02020603050405020304" pitchFamily="18" charset="0"/>
              <a:cs typeface="Times New Roman" panose="02020603050405020304" pitchFamily="18" charset="0"/>
            </a:rPr>
            <a:t>Risk-Weighed Assets (RWA), Aggregate Unpaid Principal Balance (UPB), and Expected Loss (EL) on the Underlying Loans</a:t>
          </a:r>
        </a:p>
      </xdr:txBody>
    </xdr:sp>
    <xdr:clientData/>
  </xdr:oneCellAnchor>
  <xdr:twoCellAnchor editAs="absolute">
    <xdr:from>
      <xdr:col>0</xdr:col>
      <xdr:colOff>19050</xdr:colOff>
      <xdr:row>0</xdr:row>
      <xdr:rowOff>19050</xdr:rowOff>
    </xdr:from>
    <xdr:to>
      <xdr:col>0</xdr:col>
      <xdr:colOff>615949</xdr:colOff>
      <xdr:row>2</xdr:row>
      <xdr:rowOff>297081</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19050" y="19050"/>
          <a:ext cx="596899" cy="633631"/>
        </a:xfrm>
        <a:prstGeom prst="rect">
          <a:avLst/>
        </a:prstGeom>
      </xdr:spPr>
    </xdr:pic>
    <xdr:clientData/>
  </xdr:twoCellAnchor>
  <xdr:twoCellAnchor editAs="absolute">
    <xdr:from>
      <xdr:col>0</xdr:col>
      <xdr:colOff>635000</xdr:colOff>
      <xdr:row>1</xdr:row>
      <xdr:rowOff>6350</xdr:rowOff>
    </xdr:from>
    <xdr:to>
      <xdr:col>2</xdr:col>
      <xdr:colOff>421162</xdr:colOff>
      <xdr:row>2</xdr:row>
      <xdr:rowOff>186340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635000" y="184150"/>
          <a:ext cx="1710212" cy="3577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800" b="1">
              <a:latin typeface="Times New Roman" panose="02020603050405020304" pitchFamily="18" charset="0"/>
              <a:cs typeface="Times New Roman" panose="02020603050405020304" pitchFamily="18" charset="0"/>
            </a:rPr>
            <a:t>Generic K</a:t>
          </a:r>
          <a:r>
            <a:rPr lang="en-US" sz="1800" b="1" baseline="0">
              <a:latin typeface="Times New Roman" panose="02020603050405020304" pitchFamily="18" charset="0"/>
              <a:cs typeface="Times New Roman" panose="02020603050405020304" pitchFamily="18" charset="0"/>
            </a:rPr>
            <a:t> Deal</a:t>
          </a:r>
          <a:endParaRPr lang="en-US" sz="1800" b="1">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5"/>
  <sheetViews>
    <sheetView tabSelected="1" zoomScaleNormal="100" zoomScaleSheetLayoutView="100" workbookViewId="0">
      <selection activeCell="F8" sqref="F8"/>
    </sheetView>
  </sheetViews>
  <sheetFormatPr defaultColWidth="9.140625" defaultRowHeight="15" x14ac:dyDescent="0.25"/>
  <cols>
    <col min="1" max="1" width="25.5703125" style="130" bestFit="1" customWidth="1"/>
    <col min="2" max="2" width="77.7109375" style="130" customWidth="1"/>
    <col min="3" max="5" width="9.140625" style="130" customWidth="1"/>
    <col min="6" max="16384" width="9.140625" style="130"/>
  </cols>
  <sheetData>
    <row r="1" spans="1:2" ht="14.45" customHeight="1" x14ac:dyDescent="0.25">
      <c r="A1" s="165" t="s">
        <v>145</v>
      </c>
      <c r="B1" s="165"/>
    </row>
    <row r="2" spans="1:2" ht="22.5" customHeight="1" x14ac:dyDescent="0.25">
      <c r="A2" s="165"/>
      <c r="B2" s="165"/>
    </row>
    <row r="3" spans="1:2" x14ac:dyDescent="0.25">
      <c r="B3" s="131"/>
    </row>
    <row r="4" spans="1:2" x14ac:dyDescent="0.25">
      <c r="B4" s="131"/>
    </row>
    <row r="5" spans="1:2" x14ac:dyDescent="0.25">
      <c r="B5" s="131"/>
    </row>
    <row r="6" spans="1:2" x14ac:dyDescent="0.25">
      <c r="A6" s="130" t="s">
        <v>144</v>
      </c>
      <c r="B6" s="152">
        <v>44441</v>
      </c>
    </row>
    <row r="7" spans="1:2" ht="9.9499999999999993" customHeight="1" x14ac:dyDescent="0.25"/>
    <row r="8" spans="1:2" ht="47.25" x14ac:dyDescent="0.25">
      <c r="A8" s="132" t="s">
        <v>126</v>
      </c>
      <c r="B8" s="154" t="s">
        <v>157</v>
      </c>
    </row>
    <row r="12" spans="1:2" x14ac:dyDescent="0.25">
      <c r="A12" s="132"/>
      <c r="B12" s="133"/>
    </row>
    <row r="13" spans="1:2" x14ac:dyDescent="0.25">
      <c r="A13" s="136" t="s">
        <v>135</v>
      </c>
      <c r="B13" s="133"/>
    </row>
    <row r="14" spans="1:2" ht="45" x14ac:dyDescent="0.25">
      <c r="A14" s="134" t="s">
        <v>127</v>
      </c>
      <c r="B14" s="135" t="s">
        <v>158</v>
      </c>
    </row>
    <row r="15" spans="1:2" ht="16.5" customHeight="1" x14ac:dyDescent="0.25">
      <c r="A15" s="134" t="s">
        <v>128</v>
      </c>
      <c r="B15" s="135" t="s">
        <v>129</v>
      </c>
    </row>
    <row r="16" spans="1:2" ht="16.5" customHeight="1" x14ac:dyDescent="0.25">
      <c r="A16" s="134" t="s">
        <v>130</v>
      </c>
      <c r="B16" s="135" t="s">
        <v>131</v>
      </c>
    </row>
    <row r="17" spans="1:2" ht="16.5" customHeight="1" x14ac:dyDescent="0.25">
      <c r="A17" s="134" t="s">
        <v>132</v>
      </c>
      <c r="B17" s="135" t="s">
        <v>133</v>
      </c>
    </row>
    <row r="18" spans="1:2" x14ac:dyDescent="0.25">
      <c r="A18" s="134" t="s">
        <v>134</v>
      </c>
      <c r="B18" s="135" t="s">
        <v>136</v>
      </c>
    </row>
    <row r="19" spans="1:2" x14ac:dyDescent="0.25">
      <c r="A19" s="142"/>
      <c r="B19" s="143"/>
    </row>
    <row r="20" spans="1:2" x14ac:dyDescent="0.25">
      <c r="A20" s="142"/>
      <c r="B20" s="143"/>
    </row>
    <row r="21" spans="1:2" x14ac:dyDescent="0.25">
      <c r="A21" s="142"/>
      <c r="B21" s="143"/>
    </row>
    <row r="22" spans="1:2" x14ac:dyDescent="0.25">
      <c r="A22" s="142"/>
      <c r="B22" s="143"/>
    </row>
    <row r="23" spans="1:2" x14ac:dyDescent="0.25">
      <c r="B23" s="132"/>
    </row>
    <row r="24" spans="1:2" ht="15" customHeight="1" x14ac:dyDescent="0.25"/>
    <row r="25" spans="1:2" ht="15" customHeight="1" x14ac:dyDescent="0.25"/>
    <row r="26" spans="1:2" ht="15" customHeight="1" x14ac:dyDescent="0.25"/>
    <row r="27" spans="1:2" ht="15" customHeight="1" x14ac:dyDescent="0.25"/>
    <row r="28" spans="1:2" ht="15" customHeight="1" x14ac:dyDescent="0.25"/>
    <row r="29" spans="1:2" ht="15" customHeight="1" x14ac:dyDescent="0.25"/>
    <row r="30" spans="1:2" ht="15" customHeight="1" x14ac:dyDescent="0.25"/>
    <row r="31" spans="1:2" ht="15" customHeight="1" x14ac:dyDescent="0.25"/>
    <row r="32" spans="1: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sheetData>
  <mergeCells count="1">
    <mergeCell ref="A1:B2"/>
  </mergeCells>
  <pageMargins left="0.7" right="0.7" top="0.75" bottom="0.75" header="0.3" footer="0.3"/>
  <pageSetup scale="118" fitToHeight="0" orientation="landscape" r:id="rId1"/>
  <headerFooter>
    <oddFooter>&amp;R&amp;P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F189"/>
  <sheetViews>
    <sheetView showGridLines="0" zoomScaleNormal="100" zoomScaleSheetLayoutView="100" workbookViewId="0">
      <selection activeCell="G6" sqref="G6"/>
    </sheetView>
  </sheetViews>
  <sheetFormatPr defaultColWidth="8.7109375" defaultRowHeight="15" x14ac:dyDescent="0.25"/>
  <cols>
    <col min="1" max="1" width="4.5703125" style="4" customWidth="1"/>
    <col min="2" max="2" width="23.85546875" style="4" customWidth="1"/>
    <col min="3" max="4" width="30" style="4" customWidth="1"/>
    <col min="5" max="5" width="2.5703125" style="4" customWidth="1"/>
    <col min="6" max="6" width="110.7109375" style="4" customWidth="1"/>
    <col min="7" max="16384" width="8.7109375" style="4"/>
  </cols>
  <sheetData>
    <row r="1" spans="1:6" ht="35.1" customHeight="1" x14ac:dyDescent="0.3">
      <c r="A1" s="107"/>
      <c r="B1" s="166" t="s">
        <v>150</v>
      </c>
      <c r="C1" s="166"/>
      <c r="D1" s="166"/>
      <c r="E1" s="166"/>
      <c r="F1" s="166"/>
    </row>
    <row r="2" spans="1:6" ht="35.1" customHeight="1" x14ac:dyDescent="0.25">
      <c r="B2" s="166"/>
      <c r="C2" s="166"/>
      <c r="D2" s="166"/>
      <c r="E2" s="166"/>
      <c r="F2" s="166"/>
    </row>
    <row r="3" spans="1:6" s="110" customFormat="1" ht="29.25" x14ac:dyDescent="0.6">
      <c r="B3" s="108"/>
      <c r="C3" s="148" t="s">
        <v>140</v>
      </c>
      <c r="D3" s="148"/>
      <c r="E3" s="109"/>
      <c r="F3" s="109"/>
    </row>
    <row r="4" spans="1:6" s="110" customFormat="1" ht="49.5" x14ac:dyDescent="0.6">
      <c r="B4" s="108"/>
      <c r="C4" s="156" t="s">
        <v>151</v>
      </c>
      <c r="D4" s="156" t="s">
        <v>149</v>
      </c>
      <c r="E4" s="109"/>
      <c r="F4" s="109"/>
    </row>
    <row r="5" spans="1:6" ht="18.75" x14ac:dyDescent="0.3">
      <c r="A5" s="129" t="s">
        <v>0</v>
      </c>
      <c r="B5" s="8"/>
      <c r="C5" s="28"/>
      <c r="D5" s="28"/>
      <c r="E5" s="28"/>
      <c r="F5" s="28"/>
    </row>
    <row r="6" spans="1:6" ht="139.5" customHeight="1" x14ac:dyDescent="0.25">
      <c r="B6" s="10" t="s">
        <v>37</v>
      </c>
      <c r="C6" s="121">
        <v>418750000.00000006</v>
      </c>
      <c r="D6" s="121">
        <v>418750000.00000006</v>
      </c>
      <c r="E6" s="76"/>
      <c r="F6" s="48" t="s">
        <v>137</v>
      </c>
    </row>
    <row r="7" spans="1:6" ht="132.6" customHeight="1" x14ac:dyDescent="0.25">
      <c r="B7" s="12" t="s">
        <v>38</v>
      </c>
      <c r="C7" s="122">
        <v>75000000</v>
      </c>
      <c r="D7" s="122">
        <v>75000000</v>
      </c>
      <c r="E7" s="10"/>
      <c r="F7" s="2" t="s">
        <v>138</v>
      </c>
    </row>
    <row r="8" spans="1:6" ht="91.5" customHeight="1" x14ac:dyDescent="0.25">
      <c r="B8" s="12" t="s">
        <v>39</v>
      </c>
      <c r="C8" s="122">
        <v>1000000000</v>
      </c>
      <c r="D8" s="122">
        <v>1000000000</v>
      </c>
      <c r="E8" s="12"/>
      <c r="F8" s="3" t="s">
        <v>107</v>
      </c>
    </row>
    <row r="9" spans="1:6" ht="105" customHeight="1" x14ac:dyDescent="0.25">
      <c r="B9" s="12" t="s">
        <v>40</v>
      </c>
      <c r="C9" s="122">
        <v>2500000</v>
      </c>
      <c r="D9" s="122">
        <v>2500000</v>
      </c>
      <c r="E9" s="12"/>
      <c r="F9" s="48" t="s">
        <v>36</v>
      </c>
    </row>
    <row r="10" spans="1:6" ht="60.95" customHeight="1" x14ac:dyDescent="0.25">
      <c r="B10" s="12" t="s">
        <v>41</v>
      </c>
      <c r="C10" s="123" t="s">
        <v>1</v>
      </c>
      <c r="D10" s="123" t="s">
        <v>1</v>
      </c>
      <c r="E10" s="12"/>
      <c r="F10" s="48" t="s">
        <v>92</v>
      </c>
    </row>
    <row r="11" spans="1:6" x14ac:dyDescent="0.25">
      <c r="C11" s="117"/>
      <c r="D11" s="117"/>
    </row>
    <row r="12" spans="1:6" x14ac:dyDescent="0.25">
      <c r="C12" s="117"/>
      <c r="D12" s="117"/>
    </row>
    <row r="13" spans="1:6" ht="18.75" x14ac:dyDescent="0.3">
      <c r="A13" s="8" t="s">
        <v>2</v>
      </c>
      <c r="B13" s="8"/>
      <c r="C13" s="141"/>
      <c r="D13" s="141"/>
      <c r="E13" s="28"/>
      <c r="F13" s="28"/>
    </row>
    <row r="14" spans="1:6" ht="15.95" customHeight="1" x14ac:dyDescent="0.3">
      <c r="A14" s="14"/>
      <c r="B14" s="14"/>
      <c r="C14" s="124"/>
      <c r="D14" s="124"/>
    </row>
    <row r="15" spans="1:6" ht="17.25" x14ac:dyDescent="0.25">
      <c r="C15" s="125" t="s">
        <v>94</v>
      </c>
      <c r="D15" s="125" t="s">
        <v>94</v>
      </c>
    </row>
    <row r="16" spans="1:6" ht="41.45" customHeight="1" x14ac:dyDescent="0.25">
      <c r="B16" s="10" t="s">
        <v>96</v>
      </c>
      <c r="C16" s="126">
        <v>4.4999999999999998E-2</v>
      </c>
      <c r="D16" s="126">
        <v>4.4999999999999998E-2</v>
      </c>
      <c r="E16" s="68"/>
      <c r="F16" s="170" t="s">
        <v>93</v>
      </c>
    </row>
    <row r="17" spans="1:6" ht="41.45" customHeight="1" x14ac:dyDescent="0.25">
      <c r="B17" s="12" t="s">
        <v>4</v>
      </c>
      <c r="C17" s="127">
        <v>5.0000000000000001E-3</v>
      </c>
      <c r="D17" s="127">
        <v>5.0000000000000001E-3</v>
      </c>
      <c r="E17" s="18"/>
      <c r="F17" s="171"/>
    </row>
    <row r="18" spans="1:6" ht="41.45" customHeight="1" x14ac:dyDescent="0.25">
      <c r="B18" s="12" t="s">
        <v>5</v>
      </c>
      <c r="C18" s="127">
        <v>0</v>
      </c>
      <c r="D18" s="127">
        <v>0</v>
      </c>
      <c r="E18" s="11"/>
      <c r="F18" s="172"/>
    </row>
    <row r="19" spans="1:6" x14ac:dyDescent="0.25">
      <c r="B19" s="17"/>
      <c r="C19" s="17"/>
      <c r="D19" s="17"/>
    </row>
    <row r="20" spans="1:6" ht="17.25" x14ac:dyDescent="0.25">
      <c r="C20" s="16" t="s">
        <v>95</v>
      </c>
      <c r="D20" s="16" t="s">
        <v>95</v>
      </c>
    </row>
    <row r="21" spans="1:6" ht="41.45" customHeight="1" x14ac:dyDescent="0.25">
      <c r="B21" s="10" t="s">
        <v>96</v>
      </c>
      <c r="C21" s="126">
        <v>1</v>
      </c>
      <c r="D21" s="126">
        <v>1</v>
      </c>
      <c r="E21" s="68"/>
      <c r="F21" s="170" t="s">
        <v>97</v>
      </c>
    </row>
    <row r="22" spans="1:6" ht="41.45" customHeight="1" x14ac:dyDescent="0.25">
      <c r="B22" s="12" t="s">
        <v>4</v>
      </c>
      <c r="C22" s="127">
        <v>4.4999999999999998E-2</v>
      </c>
      <c r="D22" s="127">
        <v>4.4999999999999998E-2</v>
      </c>
      <c r="E22" s="18"/>
      <c r="F22" s="171"/>
    </row>
    <row r="23" spans="1:6" ht="41.45" customHeight="1" x14ac:dyDescent="0.25">
      <c r="B23" s="12" t="s">
        <v>5</v>
      </c>
      <c r="C23" s="127">
        <v>5.0000000000000001E-3</v>
      </c>
      <c r="D23" s="127">
        <v>5.0000000000000001E-3</v>
      </c>
      <c r="E23" s="11"/>
      <c r="F23" s="172"/>
    </row>
    <row r="24" spans="1:6" x14ac:dyDescent="0.25">
      <c r="B24" s="17"/>
      <c r="C24" s="17"/>
      <c r="D24" s="17"/>
    </row>
    <row r="25" spans="1:6" ht="20.25" x14ac:dyDescent="0.35">
      <c r="A25" s="8" t="s">
        <v>42</v>
      </c>
      <c r="B25" s="8"/>
      <c r="C25" s="28"/>
      <c r="D25" s="28"/>
      <c r="E25" s="28"/>
      <c r="F25" s="28"/>
    </row>
    <row r="26" spans="1:6" ht="15.95" customHeight="1" x14ac:dyDescent="0.3">
      <c r="A26" s="14"/>
      <c r="B26" s="14"/>
      <c r="C26" s="15"/>
      <c r="D26" s="15"/>
    </row>
    <row r="27" spans="1:6" ht="15.95" customHeight="1" x14ac:dyDescent="0.25">
      <c r="C27" s="16" t="s">
        <v>43</v>
      </c>
      <c r="D27" s="16" t="s">
        <v>43</v>
      </c>
    </row>
    <row r="28" spans="1:6" ht="21.95" customHeight="1" x14ac:dyDescent="0.25">
      <c r="B28" s="10" t="s">
        <v>96</v>
      </c>
      <c r="C28" s="126">
        <v>0</v>
      </c>
      <c r="D28" s="126">
        <v>0</v>
      </c>
      <c r="E28" s="68"/>
      <c r="F28" s="173" t="s">
        <v>98</v>
      </c>
    </row>
    <row r="29" spans="1:6" ht="21.95" customHeight="1" x14ac:dyDescent="0.25">
      <c r="B29" s="12" t="s">
        <v>4</v>
      </c>
      <c r="C29" s="127">
        <v>0.6</v>
      </c>
      <c r="D29" s="127">
        <v>0.6</v>
      </c>
      <c r="E29" s="18"/>
      <c r="F29" s="174"/>
    </row>
    <row r="30" spans="1:6" ht="21.95" customHeight="1" x14ac:dyDescent="0.25">
      <c r="B30" s="12" t="s">
        <v>5</v>
      </c>
      <c r="C30" s="127">
        <v>0</v>
      </c>
      <c r="D30" s="127">
        <v>0</v>
      </c>
      <c r="E30" s="11"/>
      <c r="F30" s="175"/>
    </row>
    <row r="31" spans="1:6" x14ac:dyDescent="0.25">
      <c r="B31" s="49"/>
      <c r="C31" s="50"/>
      <c r="D31" s="50"/>
    </row>
    <row r="32" spans="1:6" ht="17.25" x14ac:dyDescent="0.25">
      <c r="B32" s="10"/>
      <c r="C32" s="51" t="s">
        <v>44</v>
      </c>
      <c r="D32" s="51" t="s">
        <v>44</v>
      </c>
    </row>
    <row r="33" spans="1:6" ht="21.95" customHeight="1" x14ac:dyDescent="0.25">
      <c r="B33" s="10" t="s">
        <v>96</v>
      </c>
      <c r="C33" s="126">
        <v>0</v>
      </c>
      <c r="D33" s="126">
        <v>0</v>
      </c>
      <c r="E33" s="68"/>
      <c r="F33" s="173" t="s">
        <v>99</v>
      </c>
    </row>
    <row r="34" spans="1:6" ht="21.95" customHeight="1" x14ac:dyDescent="0.25">
      <c r="B34" s="12" t="s">
        <v>4</v>
      </c>
      <c r="C34" s="127">
        <v>0.35</v>
      </c>
      <c r="D34" s="127">
        <v>0.35</v>
      </c>
      <c r="E34" s="18"/>
      <c r="F34" s="174"/>
    </row>
    <row r="35" spans="1:6" ht="21.95" customHeight="1" x14ac:dyDescent="0.25">
      <c r="B35" s="12" t="s">
        <v>5</v>
      </c>
      <c r="C35" s="127">
        <v>0</v>
      </c>
      <c r="D35" s="127">
        <v>0</v>
      </c>
      <c r="E35" s="11"/>
      <c r="F35" s="175"/>
    </row>
    <row r="36" spans="1:6" x14ac:dyDescent="0.25">
      <c r="C36" s="20"/>
      <c r="D36" s="20"/>
    </row>
    <row r="37" spans="1:6" ht="20.25" x14ac:dyDescent="0.35">
      <c r="A37" s="8" t="s">
        <v>45</v>
      </c>
      <c r="B37" s="8"/>
      <c r="C37" s="28"/>
      <c r="D37" s="28"/>
      <c r="E37" s="28"/>
      <c r="F37" s="28"/>
    </row>
    <row r="38" spans="1:6" ht="18.75" x14ac:dyDescent="0.3">
      <c r="B38" s="21"/>
      <c r="C38" s="17"/>
      <c r="D38" s="17"/>
    </row>
    <row r="39" spans="1:6" ht="17.25" x14ac:dyDescent="0.25">
      <c r="C39" s="16" t="s">
        <v>46</v>
      </c>
      <c r="D39" s="16" t="s">
        <v>46</v>
      </c>
    </row>
    <row r="40" spans="1:6" ht="44.1" customHeight="1" x14ac:dyDescent="0.25">
      <c r="B40" s="10" t="s">
        <v>96</v>
      </c>
      <c r="C40" s="126">
        <v>0</v>
      </c>
      <c r="D40" s="126">
        <v>0</v>
      </c>
      <c r="E40" s="68"/>
      <c r="F40" s="167" t="s">
        <v>117</v>
      </c>
    </row>
    <row r="41" spans="1:6" ht="44.1" customHeight="1" x14ac:dyDescent="0.25">
      <c r="B41" s="12" t="s">
        <v>4</v>
      </c>
      <c r="C41" s="127">
        <v>0.2</v>
      </c>
      <c r="D41" s="127">
        <v>0.2</v>
      </c>
      <c r="E41" s="18"/>
      <c r="F41" s="168"/>
    </row>
    <row r="42" spans="1:6" ht="44.1" customHeight="1" x14ac:dyDescent="0.25">
      <c r="B42" s="12" t="s">
        <v>5</v>
      </c>
      <c r="C42" s="127">
        <v>0</v>
      </c>
      <c r="D42" s="127">
        <v>0</v>
      </c>
      <c r="E42" s="11"/>
      <c r="F42" s="169"/>
    </row>
    <row r="43" spans="1:6" x14ac:dyDescent="0.25">
      <c r="C43" s="22"/>
      <c r="D43" s="22"/>
      <c r="F43" s="83"/>
    </row>
    <row r="44" spans="1:6" ht="17.25" x14ac:dyDescent="0.25">
      <c r="C44" s="16" t="s">
        <v>47</v>
      </c>
      <c r="D44" s="16" t="s">
        <v>47</v>
      </c>
      <c r="F44" s="83"/>
    </row>
    <row r="45" spans="1:6" ht="23.45" customHeight="1" x14ac:dyDescent="0.25">
      <c r="B45" s="10" t="s">
        <v>96</v>
      </c>
      <c r="C45" s="126">
        <v>0</v>
      </c>
      <c r="D45" s="126">
        <v>0</v>
      </c>
      <c r="E45" s="68"/>
      <c r="F45" s="167" t="s">
        <v>118</v>
      </c>
    </row>
    <row r="46" spans="1:6" ht="23.45" customHeight="1" x14ac:dyDescent="0.25">
      <c r="B46" s="12" t="s">
        <v>4</v>
      </c>
      <c r="C46" s="127">
        <v>5.1999999999999998E-2</v>
      </c>
      <c r="D46" s="127">
        <v>5.1999999999999998E-2</v>
      </c>
      <c r="E46" s="18"/>
      <c r="F46" s="168"/>
    </row>
    <row r="47" spans="1:6" ht="23.45" customHeight="1" x14ac:dyDescent="0.25">
      <c r="B47" s="12" t="s">
        <v>5</v>
      </c>
      <c r="C47" s="127">
        <v>0</v>
      </c>
      <c r="D47" s="127">
        <v>0</v>
      </c>
      <c r="E47" s="11"/>
      <c r="F47" s="169"/>
    </row>
    <row r="48" spans="1:6" x14ac:dyDescent="0.25">
      <c r="C48" s="20"/>
      <c r="D48" s="20"/>
      <c r="F48" s="83"/>
    </row>
    <row r="49" spans="1:6" ht="18.75" x14ac:dyDescent="0.3">
      <c r="A49" s="8" t="s">
        <v>6</v>
      </c>
      <c r="B49" s="8"/>
      <c r="C49" s="28"/>
      <c r="D49" s="28"/>
      <c r="E49" s="28"/>
      <c r="F49" s="84"/>
    </row>
    <row r="50" spans="1:6" ht="54" customHeight="1" x14ac:dyDescent="0.25">
      <c r="B50" s="10" t="s">
        <v>7</v>
      </c>
      <c r="C50" s="10">
        <v>360</v>
      </c>
      <c r="D50" s="10">
        <v>360</v>
      </c>
      <c r="E50" s="13"/>
      <c r="F50" s="85" t="s">
        <v>147</v>
      </c>
    </row>
    <row r="51" spans="1:6" ht="54" customHeight="1" x14ac:dyDescent="0.25">
      <c r="B51" s="12" t="s">
        <v>8</v>
      </c>
      <c r="C51" s="12">
        <v>150</v>
      </c>
      <c r="D51" s="12">
        <v>150</v>
      </c>
      <c r="E51" s="13"/>
      <c r="F51" s="85" t="s">
        <v>148</v>
      </c>
    </row>
    <row r="52" spans="1:6" ht="39.6" customHeight="1" x14ac:dyDescent="0.25">
      <c r="B52" s="12" t="s">
        <v>9</v>
      </c>
      <c r="C52" s="12">
        <v>0</v>
      </c>
      <c r="D52" s="12">
        <v>0</v>
      </c>
      <c r="E52" s="13"/>
      <c r="F52" s="85" t="s">
        <v>100</v>
      </c>
    </row>
    <row r="53" spans="1:6" ht="39.6" customHeight="1" x14ac:dyDescent="0.25">
      <c r="B53" s="12" t="s">
        <v>10</v>
      </c>
      <c r="C53" s="12">
        <v>0</v>
      </c>
      <c r="D53" s="12">
        <v>0</v>
      </c>
      <c r="E53" s="13"/>
      <c r="F53" s="85" t="s">
        <v>101</v>
      </c>
    </row>
    <row r="54" spans="1:6" ht="35.1" customHeight="1" x14ac:dyDescent="0.25">
      <c r="B54" s="12" t="s">
        <v>48</v>
      </c>
      <c r="C54" s="128">
        <v>1</v>
      </c>
      <c r="D54" s="128">
        <v>1</v>
      </c>
      <c r="E54" s="13"/>
      <c r="F54" s="85" t="s">
        <v>102</v>
      </c>
    </row>
    <row r="55" spans="1:6" ht="35.1" customHeight="1" x14ac:dyDescent="0.25">
      <c r="B55" s="12" t="s">
        <v>49</v>
      </c>
      <c r="C55" s="128">
        <v>0</v>
      </c>
      <c r="D55" s="128">
        <v>0</v>
      </c>
      <c r="E55" s="13"/>
      <c r="F55" s="85" t="s">
        <v>112</v>
      </c>
    </row>
    <row r="56" spans="1:6" ht="35.1" customHeight="1" x14ac:dyDescent="0.25">
      <c r="B56" s="12" t="s">
        <v>50</v>
      </c>
      <c r="C56" s="128">
        <v>0.92999999999999994</v>
      </c>
      <c r="D56" s="128">
        <v>0.92999999999999994</v>
      </c>
      <c r="E56" s="13"/>
      <c r="F56" s="85" t="s">
        <v>103</v>
      </c>
    </row>
    <row r="57" spans="1:6" ht="35.1" customHeight="1" x14ac:dyDescent="0.25">
      <c r="B57" s="12" t="s">
        <v>51</v>
      </c>
      <c r="C57" s="128">
        <v>0</v>
      </c>
      <c r="D57" s="128">
        <v>0</v>
      </c>
      <c r="E57" s="13"/>
      <c r="F57" s="85" t="s">
        <v>104</v>
      </c>
    </row>
    <row r="58" spans="1:6" ht="3" customHeight="1" x14ac:dyDescent="0.25">
      <c r="C58" s="23"/>
      <c r="D58" s="23"/>
      <c r="F58" s="83"/>
    </row>
    <row r="59" spans="1:6" ht="3" customHeight="1" x14ac:dyDescent="0.25">
      <c r="C59" s="22"/>
      <c r="D59" s="22"/>
    </row>
    <row r="60" spans="1:6" s="110" customFormat="1" ht="24.75" x14ac:dyDescent="0.6">
      <c r="A60" s="146" t="s">
        <v>11</v>
      </c>
      <c r="B60" s="146"/>
      <c r="C60" s="147"/>
      <c r="D60" s="147"/>
      <c r="E60" s="147"/>
      <c r="F60" s="147"/>
    </row>
    <row r="62" spans="1:6" ht="20.25" x14ac:dyDescent="0.35">
      <c r="A62" s="8" t="s">
        <v>52</v>
      </c>
      <c r="B62" s="8"/>
      <c r="C62" s="28"/>
      <c r="D62" s="28"/>
      <c r="E62" s="28"/>
      <c r="F62" s="28"/>
    </row>
    <row r="63" spans="1:6" ht="171.6" customHeight="1" x14ac:dyDescent="0.25">
      <c r="B63" s="53" t="s">
        <v>53</v>
      </c>
      <c r="C63" s="54">
        <f>IF(C10="Y",C6*C66/C8,(C6-C7)*C66/C8)</f>
        <v>2.7500000000000004E-2</v>
      </c>
      <c r="D63" s="54">
        <f>IF(D10="Y",D6*D66/D8,(D6-D7)*D66/D8)</f>
        <v>2.7500000000000004E-2</v>
      </c>
      <c r="E63" s="13"/>
      <c r="F63" s="48" t="s">
        <v>109</v>
      </c>
    </row>
    <row r="64" spans="1:6" ht="86.45" customHeight="1" x14ac:dyDescent="0.25">
      <c r="B64" s="55" t="s">
        <v>54</v>
      </c>
      <c r="C64" s="56">
        <f>C9/C8</f>
        <v>2.5000000000000001E-3</v>
      </c>
      <c r="D64" s="56">
        <f>D9/D8</f>
        <v>2.5000000000000001E-3</v>
      </c>
      <c r="E64" s="13"/>
      <c r="F64" s="80" t="s">
        <v>116</v>
      </c>
    </row>
    <row r="65" spans="1:6" ht="15.75" x14ac:dyDescent="0.25">
      <c r="B65" s="55" t="s">
        <v>12</v>
      </c>
      <c r="C65" s="57">
        <v>0.1</v>
      </c>
      <c r="D65" s="57">
        <v>0.05</v>
      </c>
      <c r="E65" s="13"/>
      <c r="F65" s="82" t="s">
        <v>153</v>
      </c>
    </row>
    <row r="66" spans="1:6" ht="30" x14ac:dyDescent="0.25">
      <c r="B66" s="55" t="s">
        <v>13</v>
      </c>
      <c r="C66" s="56">
        <v>0.08</v>
      </c>
      <c r="D66" s="56">
        <v>0.08</v>
      </c>
      <c r="E66" s="13"/>
      <c r="F66" s="1"/>
    </row>
    <row r="69" spans="1:6" ht="18.75" x14ac:dyDescent="0.3">
      <c r="A69" s="8" t="s">
        <v>14</v>
      </c>
      <c r="B69" s="8"/>
      <c r="C69" s="28"/>
      <c r="D69" s="28"/>
      <c r="E69" s="28"/>
      <c r="F69" s="28"/>
    </row>
    <row r="70" spans="1:6" ht="18" x14ac:dyDescent="0.4">
      <c r="C70" s="29" t="s">
        <v>55</v>
      </c>
      <c r="D70" s="29" t="s">
        <v>55</v>
      </c>
      <c r="E70" s="68"/>
      <c r="F70" s="81" t="s">
        <v>105</v>
      </c>
    </row>
    <row r="71" spans="1:6" x14ac:dyDescent="0.25">
      <c r="B71" s="10" t="s">
        <v>96</v>
      </c>
      <c r="C71" s="58">
        <f t="shared" ref="C71:D73" si="0">IF(SUM(C$63:C$64)&gt;=C21,1/C$66,0%)</f>
        <v>0</v>
      </c>
      <c r="D71" s="58">
        <f t="shared" si="0"/>
        <v>0</v>
      </c>
      <c r="E71" s="18"/>
      <c r="F71" s="18"/>
    </row>
    <row r="72" spans="1:6" x14ac:dyDescent="0.25">
      <c r="B72" s="12" t="s">
        <v>4</v>
      </c>
      <c r="C72" s="58">
        <f t="shared" si="0"/>
        <v>0</v>
      </c>
      <c r="D72" s="58">
        <f t="shared" si="0"/>
        <v>0</v>
      </c>
      <c r="E72" s="18"/>
      <c r="F72" s="18"/>
    </row>
    <row r="73" spans="1:6" x14ac:dyDescent="0.25">
      <c r="B73" s="12" t="s">
        <v>5</v>
      </c>
      <c r="C73" s="58">
        <f t="shared" si="0"/>
        <v>12.5</v>
      </c>
      <c r="D73" s="58">
        <f t="shared" si="0"/>
        <v>12.5</v>
      </c>
      <c r="E73" s="18"/>
      <c r="F73" s="18"/>
    </row>
    <row r="74" spans="1:6" ht="17.25" x14ac:dyDescent="0.4">
      <c r="C74" s="29" t="s">
        <v>56</v>
      </c>
      <c r="D74" s="29" t="s">
        <v>56</v>
      </c>
      <c r="E74" s="18"/>
      <c r="F74" s="18"/>
    </row>
    <row r="75" spans="1:6" x14ac:dyDescent="0.25">
      <c r="B75" s="10" t="s">
        <v>96</v>
      </c>
      <c r="C75" s="58">
        <f t="shared" ref="C75:D77" si="1">IF(SUM(C$63:C$64)&lt;=C16,C$65,0%)</f>
        <v>0.1</v>
      </c>
      <c r="D75" s="58">
        <f t="shared" si="1"/>
        <v>0.05</v>
      </c>
      <c r="E75" s="18"/>
      <c r="F75" s="18"/>
    </row>
    <row r="76" spans="1:6" x14ac:dyDescent="0.25">
      <c r="B76" s="12" t="s">
        <v>4</v>
      </c>
      <c r="C76" s="58">
        <f t="shared" si="1"/>
        <v>0</v>
      </c>
      <c r="D76" s="58">
        <f t="shared" si="1"/>
        <v>0</v>
      </c>
      <c r="E76" s="18"/>
      <c r="F76" s="18"/>
    </row>
    <row r="77" spans="1:6" x14ac:dyDescent="0.25">
      <c r="B77" s="12" t="s">
        <v>5</v>
      </c>
      <c r="C77" s="58">
        <f t="shared" si="1"/>
        <v>0</v>
      </c>
      <c r="D77" s="58">
        <f t="shared" si="1"/>
        <v>0</v>
      </c>
      <c r="E77" s="18"/>
      <c r="F77" s="18"/>
    </row>
    <row r="78" spans="1:6" ht="17.25" x14ac:dyDescent="0.4">
      <c r="C78" s="29" t="s">
        <v>57</v>
      </c>
      <c r="D78" s="29" t="s">
        <v>57</v>
      </c>
      <c r="E78" s="18"/>
      <c r="F78" s="18"/>
    </row>
    <row r="79" spans="1:6" x14ac:dyDescent="0.25">
      <c r="B79" s="10" t="s">
        <v>96</v>
      </c>
      <c r="C79" s="58">
        <f>IF(AND(SUM(C$63:C$64)&gt;C16,SUM(C$63:C$64)&lt;C21),(1/C$66)*(SUM(C$63:C$64)-C16)/(C21-C16)+C$65*(C21-SUM(C$63:C$64))/(C21-C16),0%)</f>
        <v>0</v>
      </c>
      <c r="D79" s="58">
        <f>IF(AND(SUM(D$63:D$64)&gt;D16,SUM(D$63:D$64)&lt;D21),(1/D$66)*(SUM(D$63:D$64)-D16)/(D21-D16)+D$65*(D21-SUM(D$63:D$64))/(D21-D16),0%)</f>
        <v>0</v>
      </c>
      <c r="E79" s="18"/>
      <c r="F79" s="18"/>
    </row>
    <row r="80" spans="1:6" x14ac:dyDescent="0.25">
      <c r="B80" s="12" t="s">
        <v>4</v>
      </c>
      <c r="C80" s="58">
        <f>IF(AND(SUM(C$63:C$64)&gt;C17,SUM(C$63:C$64)&lt;C22),(1/C$66)*(SUM(C$63:C$64)-C17)/(C22-C17)+C$65*(C22-SUM(C$63:C$64))/(C22-C17),0%)</f>
        <v>7.85</v>
      </c>
      <c r="D80" s="58">
        <f>IF(AND(SUM(D$63:D$64)&gt;D17,SUM(D$63:D$64)&lt;D22),(1/D$66)*(SUM(D$63:D$64)-D17)/(D22-D17)+D$65*(D22-SUM(D$63:D$64))/(D22-D17),0%)</f>
        <v>7.8312499999999998</v>
      </c>
      <c r="E80" s="18"/>
      <c r="F80" s="18"/>
    </row>
    <row r="81" spans="1:6" x14ac:dyDescent="0.25">
      <c r="B81" s="12" t="s">
        <v>5</v>
      </c>
      <c r="C81" s="58">
        <f t="shared" ref="C81:D81" si="2">IF(AND(SUM(C$63:C$64)&gt;C18,SUM(C$63:C$64)&lt;C23),(1/C$66)*(SUM(C$63:C$64)-C18)/(C23-C18)+C$65*(C23-SUM(C$63:C$64))/(C23-C18),0%)</f>
        <v>0</v>
      </c>
      <c r="D81" s="58">
        <f t="shared" si="2"/>
        <v>0</v>
      </c>
      <c r="E81" s="18"/>
      <c r="F81" s="18"/>
    </row>
    <row r="82" spans="1:6" ht="17.25" x14ac:dyDescent="0.4">
      <c r="C82" s="29" t="s">
        <v>58</v>
      </c>
      <c r="D82" s="29" t="s">
        <v>58</v>
      </c>
      <c r="E82" s="18"/>
      <c r="F82" s="18"/>
    </row>
    <row r="83" spans="1:6" x14ac:dyDescent="0.25">
      <c r="B83" s="10" t="s">
        <v>96</v>
      </c>
      <c r="C83" s="58">
        <f t="shared" ref="C83:D85" si="3">MAX(C$65,SUM(C71,C75,C79))</f>
        <v>0.1</v>
      </c>
      <c r="D83" s="58">
        <f t="shared" si="3"/>
        <v>0.05</v>
      </c>
      <c r="E83" s="18"/>
      <c r="F83" s="18"/>
    </row>
    <row r="84" spans="1:6" x14ac:dyDescent="0.25">
      <c r="B84" s="12" t="s">
        <v>4</v>
      </c>
      <c r="C84" s="58">
        <f t="shared" si="3"/>
        <v>7.85</v>
      </c>
      <c r="D84" s="58">
        <f t="shared" si="3"/>
        <v>7.8312499999999998</v>
      </c>
      <c r="E84" s="18"/>
      <c r="F84" s="18"/>
    </row>
    <row r="85" spans="1:6" x14ac:dyDescent="0.25">
      <c r="B85" s="12" t="s">
        <v>5</v>
      </c>
      <c r="C85" s="58">
        <f t="shared" si="3"/>
        <v>12.5</v>
      </c>
      <c r="D85" s="58">
        <f t="shared" si="3"/>
        <v>12.5</v>
      </c>
      <c r="E85" s="11"/>
      <c r="F85" s="11"/>
    </row>
    <row r="86" spans="1:6" x14ac:dyDescent="0.25">
      <c r="B86" s="10"/>
      <c r="C86" s="10"/>
      <c r="D86" s="10"/>
    </row>
    <row r="88" spans="1:6" ht="18.75" x14ac:dyDescent="0.3">
      <c r="A88" s="8" t="s">
        <v>15</v>
      </c>
      <c r="B88" s="8"/>
      <c r="C88" s="28"/>
      <c r="D88" s="28"/>
      <c r="E88" s="28"/>
      <c r="F88" s="28"/>
    </row>
    <row r="90" spans="1:6" ht="23.45" customHeight="1" x14ac:dyDescent="0.4">
      <c r="B90" s="17"/>
      <c r="C90" s="29" t="s">
        <v>59</v>
      </c>
      <c r="D90" s="29" t="s">
        <v>59</v>
      </c>
      <c r="E90" s="11"/>
      <c r="F90" s="73"/>
    </row>
    <row r="91" spans="1:6" ht="51" customHeight="1" x14ac:dyDescent="0.35">
      <c r="B91" s="10" t="s">
        <v>96</v>
      </c>
      <c r="C91" s="58">
        <f t="shared" ref="C91:D93" si="4">IF(SUM(C$63:C$64)&gt;=C21,100%,IF(SUM(C$63:C$64)&lt;=C16,0%,(SUM(C$63:C$64)-C16)/(C21-C16)))</f>
        <v>0</v>
      </c>
      <c r="D91" s="58">
        <f t="shared" si="4"/>
        <v>0</v>
      </c>
      <c r="E91" s="18"/>
      <c r="F91" s="70" t="s">
        <v>110</v>
      </c>
    </row>
    <row r="92" spans="1:6" ht="51" customHeight="1" x14ac:dyDescent="0.25">
      <c r="B92" s="12" t="s">
        <v>4</v>
      </c>
      <c r="C92" s="58">
        <f t="shared" si="4"/>
        <v>0.625</v>
      </c>
      <c r="D92" s="58">
        <f t="shared" si="4"/>
        <v>0.625</v>
      </c>
      <c r="E92" s="18"/>
      <c r="F92" s="18"/>
    </row>
    <row r="93" spans="1:6" ht="51" customHeight="1" x14ac:dyDescent="0.25">
      <c r="B93" s="74" t="s">
        <v>5</v>
      </c>
      <c r="C93" s="75">
        <f t="shared" si="4"/>
        <v>1</v>
      </c>
      <c r="D93" s="75">
        <f t="shared" si="4"/>
        <v>1</v>
      </c>
      <c r="E93" s="18"/>
      <c r="F93" s="18"/>
    </row>
    <row r="94" spans="1:6" x14ac:dyDescent="0.25">
      <c r="B94" s="18"/>
      <c r="C94" s="18"/>
      <c r="D94" s="18"/>
      <c r="E94" s="18"/>
      <c r="F94" s="18"/>
    </row>
    <row r="95" spans="1:6" ht="18" x14ac:dyDescent="0.4">
      <c r="B95" s="17"/>
      <c r="C95" s="29" t="s">
        <v>60</v>
      </c>
      <c r="D95" s="29" t="s">
        <v>60</v>
      </c>
      <c r="E95" s="11"/>
      <c r="F95" s="73"/>
    </row>
    <row r="96" spans="1:6" ht="41.1" customHeight="1" x14ac:dyDescent="0.25">
      <c r="B96" s="10" t="s">
        <v>96</v>
      </c>
      <c r="C96" s="58">
        <f t="shared" ref="C96:D98" si="5">IF(C$64&gt;=C21,100%,IF(C$64&lt;=C16,0%,(C$64-C16)/(C21-C16)))</f>
        <v>0</v>
      </c>
      <c r="D96" s="58">
        <f t="shared" si="5"/>
        <v>0</v>
      </c>
      <c r="E96" s="68"/>
      <c r="F96" s="69" t="s">
        <v>106</v>
      </c>
    </row>
    <row r="97" spans="1:6" ht="41.1" customHeight="1" x14ac:dyDescent="0.25">
      <c r="B97" s="12" t="s">
        <v>4</v>
      </c>
      <c r="C97" s="58">
        <f t="shared" si="5"/>
        <v>0</v>
      </c>
      <c r="D97" s="58">
        <f t="shared" si="5"/>
        <v>0</v>
      </c>
      <c r="E97" s="18"/>
      <c r="F97" s="18"/>
    </row>
    <row r="98" spans="1:6" ht="41.1" customHeight="1" x14ac:dyDescent="0.25">
      <c r="B98" s="12" t="s">
        <v>5</v>
      </c>
      <c r="C98" s="58">
        <f t="shared" si="5"/>
        <v>0.5</v>
      </c>
      <c r="D98" s="58">
        <f t="shared" si="5"/>
        <v>0.5</v>
      </c>
      <c r="E98" s="11"/>
      <c r="F98" s="11"/>
    </row>
    <row r="101" spans="1:6" ht="18.75" x14ac:dyDescent="0.3">
      <c r="A101" s="8" t="s">
        <v>16</v>
      </c>
      <c r="B101" s="8"/>
      <c r="C101" s="28"/>
      <c r="D101" s="28"/>
      <c r="E101" s="28"/>
      <c r="F101" s="28"/>
    </row>
    <row r="103" spans="1:6" x14ac:dyDescent="0.25">
      <c r="B103" s="9" t="s">
        <v>17</v>
      </c>
      <c r="C103" s="28"/>
      <c r="D103" s="28"/>
      <c r="E103" s="77"/>
      <c r="F103" s="77"/>
    </row>
    <row r="104" spans="1:6" ht="31.5" x14ac:dyDescent="0.25">
      <c r="E104" s="18"/>
      <c r="F104" s="86" t="s">
        <v>119</v>
      </c>
    </row>
    <row r="105" spans="1:6" ht="17.25" x14ac:dyDescent="0.4">
      <c r="C105" s="31" t="s">
        <v>61</v>
      </c>
      <c r="D105" s="31" t="s">
        <v>61</v>
      </c>
      <c r="E105" s="18"/>
      <c r="F105" s="86"/>
    </row>
    <row r="106" spans="1:6" ht="23.45" customHeight="1" x14ac:dyDescent="0.25">
      <c r="B106" s="10" t="s">
        <v>96</v>
      </c>
      <c r="C106" s="58">
        <f t="shared" ref="C106:D108" si="6">MAX(0%,C91-MAX(C96,C40))</f>
        <v>0</v>
      </c>
      <c r="D106" s="58">
        <f t="shared" si="6"/>
        <v>0</v>
      </c>
      <c r="E106" s="18"/>
      <c r="F106" s="87" t="s">
        <v>113</v>
      </c>
    </row>
    <row r="107" spans="1:6" ht="23.45" customHeight="1" x14ac:dyDescent="0.25">
      <c r="B107" s="12" t="s">
        <v>4</v>
      </c>
      <c r="C107" s="59">
        <f t="shared" si="6"/>
        <v>0.42499999999999999</v>
      </c>
      <c r="D107" s="59">
        <f t="shared" si="6"/>
        <v>0.42499999999999999</v>
      </c>
      <c r="E107" s="18"/>
      <c r="F107" s="88"/>
    </row>
    <row r="108" spans="1:6" ht="23.45" customHeight="1" x14ac:dyDescent="0.25">
      <c r="B108" s="12" t="s">
        <v>5</v>
      </c>
      <c r="C108" s="59">
        <f t="shared" si="6"/>
        <v>0.5</v>
      </c>
      <c r="D108" s="59">
        <f t="shared" si="6"/>
        <v>0.5</v>
      </c>
      <c r="E108" s="18"/>
      <c r="F108" s="88"/>
    </row>
    <row r="109" spans="1:6" x14ac:dyDescent="0.25">
      <c r="E109" s="18"/>
      <c r="F109" s="88"/>
    </row>
    <row r="110" spans="1:6" ht="17.25" x14ac:dyDescent="0.4">
      <c r="C110" s="31" t="s">
        <v>62</v>
      </c>
      <c r="D110" s="31" t="s">
        <v>62</v>
      </c>
      <c r="E110" s="18"/>
      <c r="F110" s="88"/>
    </row>
    <row r="111" spans="1:6" ht="23.45" customHeight="1" x14ac:dyDescent="0.25">
      <c r="B111" s="10" t="s">
        <v>96</v>
      </c>
      <c r="C111" s="60">
        <f t="shared" ref="C111:D113" si="7">100%-MAX(C91,C40)</f>
        <v>1</v>
      </c>
      <c r="D111" s="60">
        <f t="shared" si="7"/>
        <v>1</v>
      </c>
      <c r="E111" s="18"/>
      <c r="F111" s="87" t="s">
        <v>114</v>
      </c>
    </row>
    <row r="112" spans="1:6" ht="23.45" customHeight="1" x14ac:dyDescent="0.25">
      <c r="B112" s="12" t="s">
        <v>4</v>
      </c>
      <c r="C112" s="60">
        <f t="shared" si="7"/>
        <v>0.375</v>
      </c>
      <c r="D112" s="60">
        <f t="shared" si="7"/>
        <v>0.375</v>
      </c>
      <c r="E112" s="18"/>
      <c r="F112" s="88"/>
    </row>
    <row r="113" spans="2:6" ht="23.45" customHeight="1" x14ac:dyDescent="0.25">
      <c r="B113" s="12" t="s">
        <v>5</v>
      </c>
      <c r="C113" s="60">
        <f t="shared" si="7"/>
        <v>0</v>
      </c>
      <c r="D113" s="60">
        <f t="shared" si="7"/>
        <v>0</v>
      </c>
      <c r="E113" s="18"/>
      <c r="F113" s="88"/>
    </row>
    <row r="114" spans="2:6" x14ac:dyDescent="0.25">
      <c r="E114" s="18"/>
      <c r="F114" s="88"/>
    </row>
    <row r="115" spans="2:6" ht="17.100000000000001" customHeight="1" x14ac:dyDescent="0.4">
      <c r="C115" s="31" t="s">
        <v>63</v>
      </c>
      <c r="D115" s="31" t="s">
        <v>63</v>
      </c>
      <c r="E115" s="18"/>
      <c r="F115" s="88"/>
    </row>
    <row r="116" spans="2:6" ht="23.45" customHeight="1" x14ac:dyDescent="0.25">
      <c r="B116" s="10" t="s">
        <v>96</v>
      </c>
      <c r="C116" s="58">
        <f t="shared" ref="C116:D118" si="8">IF(C96&lt;100%,MAX(0%,1-C45*(C106*(1/C$66)+C111*C$65)/(C83-C96*(1/C$66))),100%)</f>
        <v>1</v>
      </c>
      <c r="D116" s="58">
        <f t="shared" si="8"/>
        <v>1</v>
      </c>
      <c r="E116" s="18"/>
      <c r="F116" s="88"/>
    </row>
    <row r="117" spans="2:6" ht="23.45" customHeight="1" x14ac:dyDescent="0.25">
      <c r="B117" s="12" t="s">
        <v>4</v>
      </c>
      <c r="C117" s="157">
        <f t="shared" si="8"/>
        <v>0.96456050955414008</v>
      </c>
      <c r="D117" s="157">
        <f t="shared" si="8"/>
        <v>0.96460015961691936</v>
      </c>
      <c r="E117" s="18"/>
      <c r="F117" s="88"/>
    </row>
    <row r="118" spans="2:6" ht="39.6" customHeight="1" x14ac:dyDescent="0.25">
      <c r="B118" s="12" t="s">
        <v>5</v>
      </c>
      <c r="C118" s="58">
        <f t="shared" si="8"/>
        <v>1</v>
      </c>
      <c r="D118" s="58">
        <f t="shared" si="8"/>
        <v>1</v>
      </c>
      <c r="E118" s="11"/>
      <c r="F118" s="89"/>
    </row>
    <row r="119" spans="2:6" x14ac:dyDescent="0.25">
      <c r="F119" s="83"/>
    </row>
    <row r="120" spans="2:6" ht="47.25" x14ac:dyDescent="0.25">
      <c r="B120" s="9" t="s">
        <v>18</v>
      </c>
      <c r="C120" s="28"/>
      <c r="D120" s="28"/>
      <c r="F120" s="90" t="s">
        <v>120</v>
      </c>
    </row>
    <row r="121" spans="2:6" ht="42.95" customHeight="1" x14ac:dyDescent="0.25">
      <c r="B121" s="12" t="s">
        <v>64</v>
      </c>
      <c r="C121" s="61">
        <f>(C54-C55)/(100%-C55)</f>
        <v>1</v>
      </c>
      <c r="D121" s="61">
        <f>(D54-D55)/(100%-D55)</f>
        <v>1</v>
      </c>
      <c r="F121" s="66" t="s">
        <v>108</v>
      </c>
    </row>
    <row r="122" spans="2:6" ht="42.95" customHeight="1" x14ac:dyDescent="0.25">
      <c r="B122" s="12" t="s">
        <v>65</v>
      </c>
      <c r="C122" s="61">
        <f>(C56-C57)/(100%-C57)</f>
        <v>0.92999999999999994</v>
      </c>
      <c r="D122" s="61">
        <f>(D56-D57)/(100%-D57)</f>
        <v>0.92999999999999994</v>
      </c>
      <c r="F122" s="10"/>
    </row>
    <row r="123" spans="2:6" ht="43.5" customHeight="1" x14ac:dyDescent="0.25">
      <c r="B123" s="53" t="s">
        <v>66</v>
      </c>
      <c r="C123" s="62">
        <f>MAX(SUM(C$63:C$64)*C121-C$64,0%)</f>
        <v>2.7500000000000004E-2</v>
      </c>
      <c r="D123" s="62">
        <f>MAX(SUM(D$63:D$64)*D121-D$64,0%)</f>
        <v>2.7500000000000004E-2</v>
      </c>
      <c r="F123" s="91" t="s">
        <v>121</v>
      </c>
    </row>
    <row r="124" spans="2:6" ht="23.45" customHeight="1" x14ac:dyDescent="0.25">
      <c r="B124" s="55" t="s">
        <v>67</v>
      </c>
      <c r="C124" s="63">
        <f>MAX(SUM(C$63:C$64)*C122-C$64,0%)</f>
        <v>2.5400000000000002E-2</v>
      </c>
      <c r="D124" s="63">
        <f>MAX(SUM(D$63:D$64)*D122-D$64,0%)</f>
        <v>2.5400000000000002E-2</v>
      </c>
      <c r="F124" s="91" t="s">
        <v>122</v>
      </c>
    </row>
    <row r="125" spans="2:6" x14ac:dyDescent="0.25">
      <c r="F125" s="83"/>
    </row>
    <row r="126" spans="2:6" ht="18" x14ac:dyDescent="0.4">
      <c r="C126" s="31" t="s">
        <v>68</v>
      </c>
      <c r="D126" s="31" t="s">
        <v>68</v>
      </c>
      <c r="F126" s="83"/>
    </row>
    <row r="127" spans="2:6" ht="32.450000000000003" customHeight="1" x14ac:dyDescent="0.25">
      <c r="B127" s="10" t="s">
        <v>96</v>
      </c>
      <c r="C127" s="58">
        <f t="shared" ref="C127:D129" si="9">IF(C91&gt;C96,(MAX(0,MIN(1,(C$123+C$64-C16)/(C21-C16)))-C96)/(C91-C96),100%)</f>
        <v>1</v>
      </c>
      <c r="D127" s="58">
        <f t="shared" si="9"/>
        <v>1</v>
      </c>
    </row>
    <row r="128" spans="2:6" ht="32.450000000000003" customHeight="1" x14ac:dyDescent="0.25">
      <c r="B128" s="12" t="s">
        <v>4</v>
      </c>
      <c r="C128" s="58">
        <f t="shared" si="9"/>
        <v>1</v>
      </c>
      <c r="D128" s="58">
        <f t="shared" si="9"/>
        <v>1</v>
      </c>
    </row>
    <row r="129" spans="1:6" ht="32.450000000000003" customHeight="1" x14ac:dyDescent="0.25">
      <c r="B129" s="12" t="s">
        <v>5</v>
      </c>
      <c r="C129" s="58">
        <f t="shared" si="9"/>
        <v>1</v>
      </c>
      <c r="D129" s="58">
        <f t="shared" si="9"/>
        <v>1</v>
      </c>
    </row>
    <row r="131" spans="1:6" ht="18" x14ac:dyDescent="0.4">
      <c r="C131" s="31" t="s">
        <v>69</v>
      </c>
      <c r="D131" s="31" t="s">
        <v>69</v>
      </c>
    </row>
    <row r="132" spans="1:6" ht="32.450000000000003" customHeight="1" x14ac:dyDescent="0.25">
      <c r="B132" s="10" t="s">
        <v>96</v>
      </c>
      <c r="C132" s="58">
        <f t="shared" ref="C132:D134" si="10">IF(C91&gt;C96,(MAX(0,MIN(1,(C$124+C$64-C16)/(C21-C16)))-C96)/(C91-C96),100%)</f>
        <v>1</v>
      </c>
      <c r="D132" s="58">
        <f t="shared" si="10"/>
        <v>1</v>
      </c>
    </row>
    <row r="133" spans="1:6" ht="32.450000000000003" customHeight="1" x14ac:dyDescent="0.25">
      <c r="B133" s="12" t="s">
        <v>4</v>
      </c>
      <c r="C133" s="58">
        <f t="shared" si="10"/>
        <v>0.91600000000000004</v>
      </c>
      <c r="D133" s="58">
        <f t="shared" si="10"/>
        <v>0.91600000000000004</v>
      </c>
    </row>
    <row r="134" spans="1:6" ht="32.450000000000003" customHeight="1" x14ac:dyDescent="0.25">
      <c r="B134" s="12" t="s">
        <v>5</v>
      </c>
      <c r="C134" s="58">
        <f t="shared" si="10"/>
        <v>1</v>
      </c>
      <c r="D134" s="58">
        <f t="shared" si="10"/>
        <v>1</v>
      </c>
      <c r="E134" s="11"/>
      <c r="F134" s="11"/>
    </row>
    <row r="136" spans="1:6" x14ac:dyDescent="0.25">
      <c r="B136" s="9" t="s">
        <v>152</v>
      </c>
      <c r="C136" s="28"/>
      <c r="D136" s="28"/>
      <c r="E136" s="77"/>
      <c r="F136" s="77"/>
    </row>
    <row r="137" spans="1:6" ht="89.1" customHeight="1" x14ac:dyDescent="0.25">
      <c r="B137" s="64" t="s">
        <v>70</v>
      </c>
      <c r="C137" s="65">
        <f>IF(C63&lt;=1.6%,100%,IF(C63&gt;=4%,90%,1.06667-4.16667*C63))</f>
        <v>0.95208657500000005</v>
      </c>
      <c r="D137" s="65">
        <v>1</v>
      </c>
      <c r="E137" s="11"/>
      <c r="F137" s="155" t="s">
        <v>156</v>
      </c>
    </row>
    <row r="140" spans="1:6" ht="18.75" x14ac:dyDescent="0.3">
      <c r="A140" s="8" t="s">
        <v>19</v>
      </c>
      <c r="B140" s="8"/>
      <c r="C140" s="28"/>
      <c r="D140" s="28"/>
      <c r="E140" s="28"/>
      <c r="F140" s="28"/>
    </row>
    <row r="142" spans="1:6" ht="15.75" x14ac:dyDescent="0.25">
      <c r="B142" s="9" t="s">
        <v>20</v>
      </c>
      <c r="C142" s="28"/>
      <c r="D142" s="28"/>
      <c r="E142" s="11"/>
      <c r="F142" s="72"/>
    </row>
    <row r="143" spans="1:6" ht="15.75" x14ac:dyDescent="0.25">
      <c r="E143" s="18"/>
      <c r="F143" s="71" t="s">
        <v>111</v>
      </c>
    </row>
    <row r="144" spans="1:6" ht="17.25" x14ac:dyDescent="0.4">
      <c r="C144" s="31" t="s">
        <v>71</v>
      </c>
      <c r="D144" s="31" t="s">
        <v>71</v>
      </c>
      <c r="E144" s="18"/>
      <c r="F144" s="18"/>
    </row>
    <row r="145" spans="1:6" ht="17.45" customHeight="1" x14ac:dyDescent="0.25">
      <c r="B145" s="10" t="s">
        <v>96</v>
      </c>
      <c r="C145" s="65">
        <f t="shared" ref="C145:D147" si="11">100%-C28*C127*C$137-C33*C116*C132*C$137</f>
        <v>1</v>
      </c>
      <c r="D145" s="65">
        <f t="shared" si="11"/>
        <v>1</v>
      </c>
      <c r="E145" s="18"/>
      <c r="F145" s="18"/>
    </row>
    <row r="146" spans="1:6" ht="17.45" customHeight="1" x14ac:dyDescent="0.25">
      <c r="B146" s="12" t="s">
        <v>4</v>
      </c>
      <c r="C146" s="65">
        <f t="shared" si="11"/>
        <v>0.13432661211791708</v>
      </c>
      <c r="D146" s="65">
        <f t="shared" si="11"/>
        <v>9.0749188826815708E-2</v>
      </c>
      <c r="E146" s="18"/>
      <c r="F146" s="18"/>
    </row>
    <row r="147" spans="1:6" ht="17.45" customHeight="1" x14ac:dyDescent="0.25">
      <c r="B147" s="12" t="s">
        <v>5</v>
      </c>
      <c r="C147" s="65">
        <f t="shared" si="11"/>
        <v>1</v>
      </c>
      <c r="D147" s="65">
        <f t="shared" si="11"/>
        <v>1</v>
      </c>
      <c r="E147" s="11"/>
      <c r="F147" s="11"/>
    </row>
    <row r="150" spans="1:6" ht="15.75" x14ac:dyDescent="0.25">
      <c r="B150" s="9" t="s">
        <v>21</v>
      </c>
      <c r="C150" s="28"/>
      <c r="D150" s="28"/>
      <c r="E150" s="11"/>
      <c r="F150" s="72"/>
    </row>
    <row r="151" spans="1:6" ht="15.75" x14ac:dyDescent="0.25">
      <c r="E151" s="18"/>
      <c r="F151" s="71" t="s">
        <v>115</v>
      </c>
    </row>
    <row r="152" spans="1:6" ht="17.25" x14ac:dyDescent="0.4">
      <c r="C152" s="31" t="s">
        <v>72</v>
      </c>
      <c r="D152" s="31" t="s">
        <v>72</v>
      </c>
      <c r="E152" s="18"/>
      <c r="F152" s="18"/>
    </row>
    <row r="153" spans="1:6" ht="26.45" customHeight="1" x14ac:dyDescent="0.25">
      <c r="B153" s="10" t="s">
        <v>96</v>
      </c>
      <c r="C153" s="67">
        <f t="shared" ref="C153:D155" si="12">C145*C$8*(C21-C16)*(1-C96/(C83*C$66))</f>
        <v>955000000</v>
      </c>
      <c r="D153" s="67">
        <f t="shared" si="12"/>
        <v>955000000</v>
      </c>
      <c r="E153" s="18"/>
      <c r="F153" s="18"/>
    </row>
    <row r="154" spans="1:6" ht="26.45" customHeight="1" x14ac:dyDescent="0.25">
      <c r="B154" s="12" t="s">
        <v>4</v>
      </c>
      <c r="C154" s="67">
        <f t="shared" si="12"/>
        <v>5373064.4847166836</v>
      </c>
      <c r="D154" s="67">
        <f t="shared" si="12"/>
        <v>3629967.5530726286</v>
      </c>
      <c r="E154" s="18"/>
      <c r="F154" s="18"/>
    </row>
    <row r="155" spans="1:6" ht="26.45" customHeight="1" x14ac:dyDescent="0.25">
      <c r="B155" s="12" t="s">
        <v>5</v>
      </c>
      <c r="C155" s="67">
        <f t="shared" si="12"/>
        <v>2500000</v>
      </c>
      <c r="D155" s="67">
        <f t="shared" si="12"/>
        <v>2500000</v>
      </c>
      <c r="E155" s="11"/>
      <c r="F155" s="11"/>
    </row>
    <row r="157" spans="1:6" ht="18.75" x14ac:dyDescent="0.3">
      <c r="A157" s="8" t="s">
        <v>22</v>
      </c>
      <c r="B157" s="8"/>
      <c r="C157" s="28"/>
      <c r="D157" s="28"/>
      <c r="E157" s="28"/>
      <c r="F157" s="28"/>
    </row>
    <row r="159" spans="1:6" x14ac:dyDescent="0.25">
      <c r="B159" s="9" t="s">
        <v>23</v>
      </c>
      <c r="C159" s="28"/>
      <c r="D159" s="28"/>
    </row>
    <row r="160" spans="1:6" ht="81.75" x14ac:dyDescent="0.25">
      <c r="E160" s="68"/>
      <c r="F160" s="92" t="s">
        <v>123</v>
      </c>
    </row>
    <row r="161" spans="2:6" ht="18" x14ac:dyDescent="0.4">
      <c r="C161" s="31" t="s">
        <v>73</v>
      </c>
      <c r="D161" s="31" t="s">
        <v>73</v>
      </c>
      <c r="E161" s="18"/>
      <c r="F161" s="93"/>
    </row>
    <row r="162" spans="2:6" ht="27.95" customHeight="1" x14ac:dyDescent="0.25">
      <c r="B162" s="10" t="s">
        <v>96</v>
      </c>
      <c r="C162" s="153">
        <f t="shared" ref="C162:D164" si="13">IF(C$10="N",C$7*(C21-C16),0)</f>
        <v>71625000</v>
      </c>
      <c r="D162" s="153">
        <f t="shared" si="13"/>
        <v>71625000</v>
      </c>
      <c r="E162" s="18"/>
      <c r="F162" s="88"/>
    </row>
    <row r="163" spans="2:6" ht="27.95" customHeight="1" x14ac:dyDescent="0.25">
      <c r="B163" s="12" t="s">
        <v>4</v>
      </c>
      <c r="C163" s="153">
        <f t="shared" si="13"/>
        <v>3000000</v>
      </c>
      <c r="D163" s="153">
        <f t="shared" si="13"/>
        <v>3000000</v>
      </c>
      <c r="E163" s="18"/>
      <c r="F163" s="88"/>
    </row>
    <row r="164" spans="2:6" ht="27.95" customHeight="1" x14ac:dyDescent="0.25">
      <c r="B164" s="12" t="s">
        <v>5</v>
      </c>
      <c r="C164" s="153">
        <f t="shared" si="13"/>
        <v>375000</v>
      </c>
      <c r="D164" s="153">
        <f t="shared" si="13"/>
        <v>375000</v>
      </c>
      <c r="E164" s="11"/>
      <c r="F164" s="89"/>
    </row>
    <row r="165" spans="2:6" x14ac:dyDescent="0.25">
      <c r="F165" s="83"/>
    </row>
    <row r="166" spans="2:6" x14ac:dyDescent="0.25">
      <c r="F166" s="83"/>
    </row>
    <row r="167" spans="2:6" x14ac:dyDescent="0.25">
      <c r="B167" s="9" t="s">
        <v>24</v>
      </c>
      <c r="C167" s="28"/>
      <c r="D167" s="28"/>
      <c r="E167" s="11"/>
      <c r="F167" s="89"/>
    </row>
    <row r="168" spans="2:6" ht="15.75" x14ac:dyDescent="0.25">
      <c r="E168" s="18"/>
      <c r="F168" s="87" t="s">
        <v>124</v>
      </c>
    </row>
    <row r="169" spans="2:6" ht="17.25" x14ac:dyDescent="0.4">
      <c r="C169" s="31" t="s">
        <v>74</v>
      </c>
      <c r="D169" s="31" t="s">
        <v>74</v>
      </c>
      <c r="E169" s="18"/>
      <c r="F169" s="88"/>
    </row>
    <row r="170" spans="2:6" ht="23.45" customHeight="1" x14ac:dyDescent="0.25">
      <c r="B170" s="10" t="s">
        <v>96</v>
      </c>
      <c r="C170" s="67">
        <f>C153*C83+C162</f>
        <v>167125000</v>
      </c>
      <c r="D170" s="67">
        <f>D153*D83+D162</f>
        <v>119375000</v>
      </c>
      <c r="E170" s="18"/>
      <c r="F170" s="88"/>
    </row>
    <row r="171" spans="2:6" ht="23.45" customHeight="1" x14ac:dyDescent="0.25">
      <c r="B171" s="12" t="s">
        <v>4</v>
      </c>
      <c r="C171" s="67">
        <f t="shared" ref="C171:D172" si="14">C154*C84+C163</f>
        <v>45178556.205025963</v>
      </c>
      <c r="D171" s="67">
        <f t="shared" si="14"/>
        <v>31427183.400000021</v>
      </c>
      <c r="E171" s="18"/>
      <c r="F171" s="88"/>
    </row>
    <row r="172" spans="2:6" ht="23.45" customHeight="1" x14ac:dyDescent="0.25">
      <c r="B172" s="12" t="s">
        <v>5</v>
      </c>
      <c r="C172" s="67">
        <f t="shared" si="14"/>
        <v>31625000</v>
      </c>
      <c r="D172" s="67">
        <f t="shared" si="14"/>
        <v>31625000</v>
      </c>
      <c r="E172" s="11"/>
      <c r="F172" s="89"/>
    </row>
    <row r="173" spans="2:6" x14ac:dyDescent="0.25">
      <c r="C173" s="39"/>
      <c r="D173" s="39"/>
      <c r="F173" s="83"/>
    </row>
    <row r="174" spans="2:6" x14ac:dyDescent="0.25">
      <c r="B174" s="9" t="s">
        <v>25</v>
      </c>
      <c r="C174" s="28"/>
      <c r="D174" s="28"/>
      <c r="F174" s="83"/>
    </row>
    <row r="175" spans="2:6" x14ac:dyDescent="0.25">
      <c r="B175" s="17"/>
      <c r="C175" s="40"/>
      <c r="D175" s="40"/>
      <c r="E175" s="68"/>
      <c r="F175" s="94"/>
    </row>
    <row r="176" spans="2:6" ht="45.95" customHeight="1" x14ac:dyDescent="0.25">
      <c r="B176" s="137" t="s">
        <v>75</v>
      </c>
      <c r="C176" s="67">
        <f>SUM(C170:C172)</f>
        <v>243928556.20502597</v>
      </c>
      <c r="D176" s="67">
        <f>SUM(D170:D172)</f>
        <v>182427183.40000004</v>
      </c>
      <c r="E176" s="18"/>
      <c r="F176" s="88"/>
    </row>
    <row r="177" spans="2:6" ht="45.95" customHeight="1" x14ac:dyDescent="0.25">
      <c r="B177" s="12" t="s">
        <v>76</v>
      </c>
      <c r="C177" s="67">
        <f>C6-C176</f>
        <v>174821443.79497409</v>
      </c>
      <c r="D177" s="67">
        <f>D6-D176</f>
        <v>236322816.60000002</v>
      </c>
      <c r="E177" s="11"/>
      <c r="F177" s="89"/>
    </row>
    <row r="178" spans="2:6" x14ac:dyDescent="0.25">
      <c r="C178" s="39"/>
      <c r="D178" s="39"/>
    </row>
    <row r="179" spans="2:6" x14ac:dyDescent="0.25">
      <c r="B179" s="9" t="s">
        <v>155</v>
      </c>
      <c r="C179" s="28"/>
      <c r="D179" s="28"/>
      <c r="F179" s="83"/>
    </row>
    <row r="180" spans="2:6" x14ac:dyDescent="0.25">
      <c r="B180" s="17"/>
      <c r="C180" s="40"/>
      <c r="D180" s="40"/>
      <c r="E180" s="68"/>
      <c r="F180" s="94"/>
    </row>
    <row r="181" spans="2:6" ht="45.95" customHeight="1" x14ac:dyDescent="0.25">
      <c r="B181" s="137" t="s">
        <v>154</v>
      </c>
      <c r="C181" s="67"/>
      <c r="D181" s="58">
        <f>D177/C177-1</f>
        <v>0.35179536028287872</v>
      </c>
      <c r="E181" s="18"/>
      <c r="F181" s="88"/>
    </row>
    <row r="182" spans="2:6" x14ac:dyDescent="0.25">
      <c r="C182" s="5"/>
      <c r="D182" s="39"/>
    </row>
    <row r="183" spans="2:6" x14ac:dyDescent="0.25">
      <c r="C183" s="39"/>
      <c r="D183" s="39"/>
    </row>
    <row r="184" spans="2:6" x14ac:dyDescent="0.25">
      <c r="C184" s="39"/>
      <c r="D184" s="39"/>
    </row>
    <row r="185" spans="2:6" x14ac:dyDescent="0.25">
      <c r="C185" s="39"/>
      <c r="D185" s="39"/>
    </row>
    <row r="186" spans="2:6" s="117" customFormat="1" x14ac:dyDescent="0.25">
      <c r="C186" s="138"/>
      <c r="D186" s="138"/>
    </row>
    <row r="187" spans="2:6" x14ac:dyDescent="0.25">
      <c r="B187" s="41"/>
      <c r="C187" s="42"/>
      <c r="D187" s="42"/>
    </row>
    <row r="188" spans="2:6" x14ac:dyDescent="0.25">
      <c r="B188" s="41"/>
      <c r="C188" s="42"/>
      <c r="D188" s="42"/>
    </row>
    <row r="189" spans="2:6" x14ac:dyDescent="0.25">
      <c r="B189" s="41"/>
      <c r="C189" s="42"/>
      <c r="D189" s="42"/>
    </row>
  </sheetData>
  <mergeCells count="7">
    <mergeCell ref="B1:F2"/>
    <mergeCell ref="F45:F47"/>
    <mergeCell ref="F16:F18"/>
    <mergeCell ref="F21:F23"/>
    <mergeCell ref="F28:F30"/>
    <mergeCell ref="F33:F35"/>
    <mergeCell ref="F40:F42"/>
  </mergeCells>
  <pageMargins left="0.25" right="0.25" top="0.75" bottom="0.75" header="0.3" footer="0.3"/>
  <pageSetup scale="66" fitToHeight="0" orientation="landscape" r:id="rId1"/>
  <headerFooter>
    <oddFooter>&amp;L&amp;"-,Italic"The information provided in the 2021 Enterprise Regulatory Capital CRT spreadsheet is for illustrative and 
explanatory purposes only and does not replace the regulation published at 12 CFR 1240.   &amp;R&amp;P of &amp;N</oddFooter>
  </headerFooter>
  <rowBreaks count="8" manualBreakCount="8">
    <brk id="12" max="16383" man="1"/>
    <brk id="36" max="16383" man="1"/>
    <brk id="57" max="16383" man="1"/>
    <brk id="86" max="16383" man="1"/>
    <brk id="99" max="16383" man="1"/>
    <brk id="118" max="16383" man="1"/>
    <brk id="137" max="16383" man="1"/>
    <brk id="16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J180"/>
  <sheetViews>
    <sheetView showGridLines="0" zoomScaleNormal="100" zoomScaleSheetLayoutView="100" workbookViewId="0">
      <selection activeCell="G6" sqref="G6:H6"/>
    </sheetView>
  </sheetViews>
  <sheetFormatPr defaultColWidth="8.7109375" defaultRowHeight="15" x14ac:dyDescent="0.25"/>
  <cols>
    <col min="1" max="1" width="8.7109375" style="4"/>
    <col min="2" max="2" width="4.5703125" style="4" customWidth="1"/>
    <col min="3" max="3" width="25.7109375" style="4" customWidth="1"/>
    <col min="4" max="5" width="21.28515625" style="4" customWidth="1"/>
    <col min="6" max="6" width="3.5703125" style="4" customWidth="1"/>
    <col min="7" max="8" width="21.28515625" style="4" customWidth="1"/>
    <col min="9" max="9" width="20.140625" style="4" bestFit="1" customWidth="1"/>
    <col min="10" max="10" width="9" style="4" bestFit="1" customWidth="1"/>
    <col min="11" max="16384" width="8.7109375" style="4"/>
  </cols>
  <sheetData>
    <row r="1" spans="2:8" ht="54" customHeight="1" x14ac:dyDescent="0.25"/>
    <row r="3" spans="2:8" ht="24.75" x14ac:dyDescent="0.6">
      <c r="D3" s="180" t="s">
        <v>151</v>
      </c>
      <c r="E3" s="180"/>
      <c r="G3" s="180" t="s">
        <v>149</v>
      </c>
      <c r="H3" s="180"/>
    </row>
    <row r="4" spans="2:8" ht="42.6" customHeight="1" x14ac:dyDescent="0.55000000000000004">
      <c r="B4" s="178"/>
      <c r="C4" s="179"/>
      <c r="D4" s="149" t="s">
        <v>142</v>
      </c>
      <c r="E4" s="149" t="s">
        <v>143</v>
      </c>
      <c r="G4" s="149" t="s">
        <v>142</v>
      </c>
      <c r="H4" s="149" t="s">
        <v>143</v>
      </c>
    </row>
    <row r="5" spans="2:8" ht="9.9499999999999993" customHeight="1" x14ac:dyDescent="0.6">
      <c r="C5" s="6"/>
      <c r="D5" s="7"/>
      <c r="E5" s="7"/>
      <c r="G5" s="7"/>
      <c r="H5" s="7"/>
    </row>
    <row r="6" spans="2:8" s="110" customFormat="1" ht="24.75" x14ac:dyDescent="0.6">
      <c r="B6" s="96"/>
      <c r="C6" s="96"/>
      <c r="D6" s="177" t="s">
        <v>139</v>
      </c>
      <c r="E6" s="177"/>
      <c r="F6" s="97"/>
      <c r="G6" s="177" t="s">
        <v>139</v>
      </c>
      <c r="H6" s="177"/>
    </row>
    <row r="7" spans="2:8" s="120" customFormat="1" ht="9" customHeight="1" x14ac:dyDescent="0.6">
      <c r="B7" s="118"/>
      <c r="C7" s="118"/>
      <c r="D7" s="119"/>
      <c r="E7" s="119"/>
      <c r="G7" s="119"/>
      <c r="H7" s="119"/>
    </row>
    <row r="8" spans="2:8" ht="36.6" customHeight="1" x14ac:dyDescent="0.3">
      <c r="B8" s="176" t="s">
        <v>0</v>
      </c>
      <c r="C8" s="176"/>
      <c r="D8" s="176"/>
      <c r="E8" s="176"/>
    </row>
    <row r="9" spans="2:8" ht="16.5" x14ac:dyDescent="0.3">
      <c r="C9" s="4" t="s">
        <v>37</v>
      </c>
      <c r="D9" s="101">
        <v>418750000.00000006</v>
      </c>
      <c r="E9" s="101">
        <v>300000000</v>
      </c>
      <c r="G9" s="101">
        <v>418750000.00000006</v>
      </c>
      <c r="H9" s="101">
        <v>300000000</v>
      </c>
    </row>
    <row r="10" spans="2:8" ht="16.5" x14ac:dyDescent="0.3">
      <c r="C10" s="13" t="s">
        <v>38</v>
      </c>
      <c r="D10" s="102">
        <v>75000000</v>
      </c>
      <c r="E10" s="102">
        <v>0</v>
      </c>
      <c r="G10" s="102">
        <v>75000000</v>
      </c>
      <c r="H10" s="102">
        <v>0</v>
      </c>
    </row>
    <row r="11" spans="2:8" ht="16.5" x14ac:dyDescent="0.3">
      <c r="C11" s="13" t="s">
        <v>39</v>
      </c>
      <c r="D11" s="102">
        <v>1000000000</v>
      </c>
      <c r="E11" s="102">
        <v>1000000000</v>
      </c>
      <c r="G11" s="102">
        <v>1000000000</v>
      </c>
      <c r="H11" s="102">
        <v>1000000000</v>
      </c>
    </row>
    <row r="12" spans="2:8" ht="16.5" x14ac:dyDescent="0.3">
      <c r="C12" s="13" t="s">
        <v>40</v>
      </c>
      <c r="D12" s="102">
        <v>2500000</v>
      </c>
      <c r="E12" s="102">
        <v>2000000</v>
      </c>
      <c r="G12" s="102">
        <v>2500000</v>
      </c>
      <c r="H12" s="102">
        <v>2000000</v>
      </c>
    </row>
    <row r="13" spans="2:8" ht="16.5" x14ac:dyDescent="0.3">
      <c r="C13" s="13" t="s">
        <v>41</v>
      </c>
      <c r="D13" s="103" t="s">
        <v>1</v>
      </c>
      <c r="E13" s="103" t="s">
        <v>1</v>
      </c>
      <c r="G13" s="103" t="s">
        <v>1</v>
      </c>
      <c r="H13" s="103" t="s">
        <v>1</v>
      </c>
    </row>
    <row r="15" spans="2:8" ht="18.75" x14ac:dyDescent="0.3">
      <c r="B15" s="8" t="s">
        <v>2</v>
      </c>
      <c r="C15" s="8"/>
      <c r="D15" s="9"/>
      <c r="E15" s="9"/>
      <c r="G15" s="9"/>
      <c r="H15" s="9"/>
    </row>
    <row r="16" spans="2:8" ht="8.1" customHeight="1" x14ac:dyDescent="0.3">
      <c r="B16" s="14"/>
      <c r="C16" s="14"/>
      <c r="D16" s="15"/>
      <c r="E16" s="15"/>
      <c r="G16" s="15"/>
      <c r="H16" s="15"/>
    </row>
    <row r="17" spans="2:8" ht="17.25" x14ac:dyDescent="0.25">
      <c r="D17" s="16" t="s">
        <v>94</v>
      </c>
      <c r="E17" s="16" t="s">
        <v>94</v>
      </c>
      <c r="G17" s="16" t="s">
        <v>94</v>
      </c>
      <c r="H17" s="16" t="s">
        <v>94</v>
      </c>
    </row>
    <row r="18" spans="2:8" x14ac:dyDescent="0.25">
      <c r="C18" s="4" t="s">
        <v>96</v>
      </c>
      <c r="D18" s="104">
        <v>4.4999999999999998E-2</v>
      </c>
      <c r="E18" s="104">
        <v>4.4999999999999998E-2</v>
      </c>
      <c r="G18" s="104">
        <v>4.4999999999999998E-2</v>
      </c>
      <c r="H18" s="104">
        <v>4.4999999999999998E-2</v>
      </c>
    </row>
    <row r="19" spans="2:8" x14ac:dyDescent="0.25">
      <c r="C19" s="13" t="s">
        <v>4</v>
      </c>
      <c r="D19" s="105">
        <v>5.0000000000000001E-3</v>
      </c>
      <c r="E19" s="105">
        <v>5.0000000000000001E-3</v>
      </c>
      <c r="G19" s="105">
        <v>5.0000000000000001E-3</v>
      </c>
      <c r="H19" s="105">
        <v>5.0000000000000001E-3</v>
      </c>
    </row>
    <row r="20" spans="2:8" x14ac:dyDescent="0.25">
      <c r="C20" s="13" t="s">
        <v>5</v>
      </c>
      <c r="D20" s="105">
        <v>0</v>
      </c>
      <c r="E20" s="105">
        <v>0</v>
      </c>
      <c r="G20" s="105">
        <v>0</v>
      </c>
      <c r="H20" s="105">
        <v>0</v>
      </c>
    </row>
    <row r="21" spans="2:8" x14ac:dyDescent="0.25">
      <c r="C21" s="17"/>
      <c r="D21" s="17"/>
      <c r="E21" s="17"/>
      <c r="G21" s="17"/>
      <c r="H21" s="17"/>
    </row>
    <row r="22" spans="2:8" ht="17.25" x14ac:dyDescent="0.25">
      <c r="D22" s="16" t="s">
        <v>95</v>
      </c>
      <c r="E22" s="16" t="s">
        <v>95</v>
      </c>
      <c r="G22" s="16" t="s">
        <v>95</v>
      </c>
      <c r="H22" s="16" t="s">
        <v>95</v>
      </c>
    </row>
    <row r="23" spans="2:8" x14ac:dyDescent="0.25">
      <c r="C23" s="4" t="s">
        <v>96</v>
      </c>
      <c r="D23" s="104">
        <v>1</v>
      </c>
      <c r="E23" s="104">
        <v>1</v>
      </c>
      <c r="G23" s="104">
        <v>1</v>
      </c>
      <c r="H23" s="104">
        <v>1</v>
      </c>
    </row>
    <row r="24" spans="2:8" x14ac:dyDescent="0.25">
      <c r="C24" s="13" t="s">
        <v>4</v>
      </c>
      <c r="D24" s="105">
        <v>4.4999999999999998E-2</v>
      </c>
      <c r="E24" s="105">
        <v>4.4999999999999998E-2</v>
      </c>
      <c r="G24" s="105">
        <v>4.4999999999999998E-2</v>
      </c>
      <c r="H24" s="105">
        <v>4.4999999999999998E-2</v>
      </c>
    </row>
    <row r="25" spans="2:8" x14ac:dyDescent="0.25">
      <c r="C25" s="13" t="s">
        <v>5</v>
      </c>
      <c r="D25" s="105">
        <v>5.0000000000000001E-3</v>
      </c>
      <c r="E25" s="105">
        <v>5.0000000000000001E-3</v>
      </c>
      <c r="G25" s="105">
        <v>5.0000000000000001E-3</v>
      </c>
      <c r="H25" s="105">
        <v>5.0000000000000001E-3</v>
      </c>
    </row>
    <row r="26" spans="2:8" x14ac:dyDescent="0.25">
      <c r="C26" s="17"/>
      <c r="D26" s="17"/>
      <c r="E26" s="17"/>
      <c r="G26" s="17"/>
      <c r="H26" s="17"/>
    </row>
    <row r="27" spans="2:8" ht="20.25" x14ac:dyDescent="0.35">
      <c r="B27" s="8" t="s">
        <v>42</v>
      </c>
      <c r="C27" s="8"/>
      <c r="D27" s="9"/>
      <c r="E27" s="9"/>
      <c r="G27" s="9"/>
      <c r="H27" s="9"/>
    </row>
    <row r="28" spans="2:8" ht="8.1" customHeight="1" x14ac:dyDescent="0.3">
      <c r="B28" s="14"/>
      <c r="C28" s="14"/>
      <c r="D28" s="15"/>
      <c r="E28" s="15"/>
      <c r="G28" s="15"/>
      <c r="H28" s="15"/>
    </row>
    <row r="29" spans="2:8" ht="15.95" customHeight="1" x14ac:dyDescent="0.25">
      <c r="D29" s="16" t="s">
        <v>43</v>
      </c>
      <c r="E29" s="16" t="s">
        <v>43</v>
      </c>
      <c r="G29" s="16" t="s">
        <v>43</v>
      </c>
      <c r="H29" s="16" t="s">
        <v>43</v>
      </c>
    </row>
    <row r="30" spans="2:8" x14ac:dyDescent="0.25">
      <c r="C30" s="4" t="s">
        <v>96</v>
      </c>
      <c r="D30" s="104">
        <v>0</v>
      </c>
      <c r="E30" s="104">
        <v>0</v>
      </c>
      <c r="G30" s="104">
        <v>0</v>
      </c>
      <c r="H30" s="104">
        <v>0</v>
      </c>
    </row>
    <row r="31" spans="2:8" x14ac:dyDescent="0.25">
      <c r="C31" s="13" t="s">
        <v>4</v>
      </c>
      <c r="D31" s="105">
        <v>0.6</v>
      </c>
      <c r="E31" s="105">
        <v>0.8</v>
      </c>
      <c r="G31" s="105">
        <v>0.6</v>
      </c>
      <c r="H31" s="105">
        <v>0.8</v>
      </c>
    </row>
    <row r="32" spans="2:8" x14ac:dyDescent="0.25">
      <c r="C32" s="13" t="s">
        <v>5</v>
      </c>
      <c r="D32" s="105">
        <v>0</v>
      </c>
      <c r="E32" s="105">
        <v>0</v>
      </c>
      <c r="G32" s="105">
        <v>0</v>
      </c>
      <c r="H32" s="105">
        <v>0</v>
      </c>
    </row>
    <row r="33" spans="2:8" x14ac:dyDescent="0.25">
      <c r="C33" s="18"/>
      <c r="D33" s="19"/>
      <c r="E33" s="19"/>
      <c r="G33" s="19"/>
      <c r="H33" s="19"/>
    </row>
    <row r="34" spans="2:8" ht="17.25" x14ac:dyDescent="0.25">
      <c r="D34" s="16" t="s">
        <v>44</v>
      </c>
      <c r="E34" s="16" t="s">
        <v>44</v>
      </c>
      <c r="G34" s="16" t="s">
        <v>44</v>
      </c>
      <c r="H34" s="16" t="s">
        <v>44</v>
      </c>
    </row>
    <row r="35" spans="2:8" x14ac:dyDescent="0.25">
      <c r="C35" s="4" t="s">
        <v>96</v>
      </c>
      <c r="D35" s="104">
        <v>0</v>
      </c>
      <c r="E35" s="104">
        <v>0</v>
      </c>
      <c r="G35" s="104">
        <v>0</v>
      </c>
      <c r="H35" s="104">
        <v>0</v>
      </c>
    </row>
    <row r="36" spans="2:8" x14ac:dyDescent="0.25">
      <c r="C36" s="13" t="s">
        <v>4</v>
      </c>
      <c r="D36" s="105">
        <v>0.35</v>
      </c>
      <c r="E36" s="105">
        <v>0.15</v>
      </c>
      <c r="G36" s="105">
        <v>0.35</v>
      </c>
      <c r="H36" s="105">
        <v>0.15</v>
      </c>
    </row>
    <row r="37" spans="2:8" x14ac:dyDescent="0.25">
      <c r="C37" s="13" t="s">
        <v>5</v>
      </c>
      <c r="D37" s="105">
        <v>0</v>
      </c>
      <c r="E37" s="105">
        <v>0</v>
      </c>
      <c r="G37" s="105">
        <v>0</v>
      </c>
      <c r="H37" s="105">
        <v>0</v>
      </c>
    </row>
    <row r="38" spans="2:8" x14ac:dyDescent="0.25">
      <c r="D38" s="20"/>
      <c r="E38" s="20"/>
      <c r="G38" s="20"/>
      <c r="H38" s="20"/>
    </row>
    <row r="39" spans="2:8" ht="20.25" x14ac:dyDescent="0.35">
      <c r="B39" s="8" t="s">
        <v>45</v>
      </c>
      <c r="C39" s="8"/>
      <c r="D39" s="9"/>
      <c r="E39" s="9"/>
      <c r="G39" s="9"/>
      <c r="H39" s="9"/>
    </row>
    <row r="40" spans="2:8" ht="8.1" customHeight="1" x14ac:dyDescent="0.3">
      <c r="C40" s="21"/>
      <c r="D40" s="17"/>
      <c r="E40" s="17"/>
      <c r="G40" s="17"/>
      <c r="H40" s="17"/>
    </row>
    <row r="41" spans="2:8" ht="17.25" x14ac:dyDescent="0.25">
      <c r="D41" s="16" t="s">
        <v>46</v>
      </c>
      <c r="E41" s="16" t="s">
        <v>46</v>
      </c>
      <c r="G41" s="16" t="s">
        <v>46</v>
      </c>
      <c r="H41" s="16" t="s">
        <v>46</v>
      </c>
    </row>
    <row r="42" spans="2:8" x14ac:dyDescent="0.25">
      <c r="C42" s="4" t="s">
        <v>96</v>
      </c>
      <c r="D42" s="104">
        <v>0</v>
      </c>
      <c r="E42" s="104">
        <v>0</v>
      </c>
      <c r="G42" s="104">
        <v>0</v>
      </c>
      <c r="H42" s="104">
        <v>0</v>
      </c>
    </row>
    <row r="43" spans="2:8" x14ac:dyDescent="0.25">
      <c r="C43" s="13" t="s">
        <v>4</v>
      </c>
      <c r="D43" s="105">
        <v>0.2</v>
      </c>
      <c r="E43" s="105">
        <v>0.25</v>
      </c>
      <c r="G43" s="105">
        <v>0.2</v>
      </c>
      <c r="H43" s="105">
        <v>0.25</v>
      </c>
    </row>
    <row r="44" spans="2:8" x14ac:dyDescent="0.25">
      <c r="C44" s="13" t="s">
        <v>5</v>
      </c>
      <c r="D44" s="105">
        <v>0</v>
      </c>
      <c r="E44" s="105">
        <v>0</v>
      </c>
      <c r="G44" s="105">
        <v>0</v>
      </c>
      <c r="H44" s="105">
        <v>0</v>
      </c>
    </row>
    <row r="45" spans="2:8" x14ac:dyDescent="0.25">
      <c r="D45" s="22"/>
      <c r="E45" s="22"/>
      <c r="G45" s="22"/>
      <c r="H45" s="22"/>
    </row>
    <row r="46" spans="2:8" ht="17.25" x14ac:dyDescent="0.25">
      <c r="D46" s="16" t="s">
        <v>47</v>
      </c>
      <c r="E46" s="16" t="s">
        <v>47</v>
      </c>
      <c r="G46" s="16" t="s">
        <v>47</v>
      </c>
      <c r="H46" s="16" t="s">
        <v>47</v>
      </c>
    </row>
    <row r="47" spans="2:8" x14ac:dyDescent="0.25">
      <c r="C47" s="4" t="s">
        <v>96</v>
      </c>
      <c r="D47" s="104">
        <v>0</v>
      </c>
      <c r="E47" s="104">
        <v>0</v>
      </c>
      <c r="G47" s="104">
        <v>0</v>
      </c>
      <c r="H47" s="104">
        <v>0</v>
      </c>
    </row>
    <row r="48" spans="2:8" x14ac:dyDescent="0.25">
      <c r="C48" s="13" t="s">
        <v>4</v>
      </c>
      <c r="D48" s="105">
        <v>5.1999999999999998E-2</v>
      </c>
      <c r="E48" s="105">
        <v>7.4999999999999997E-2</v>
      </c>
      <c r="G48" s="105">
        <v>5.1999999999999998E-2</v>
      </c>
      <c r="H48" s="105">
        <v>7.4999999999999997E-2</v>
      </c>
    </row>
    <row r="49" spans="1:8" x14ac:dyDescent="0.25">
      <c r="C49" s="13" t="s">
        <v>5</v>
      </c>
      <c r="D49" s="105">
        <v>0</v>
      </c>
      <c r="E49" s="105">
        <v>0</v>
      </c>
      <c r="G49" s="105">
        <v>0</v>
      </c>
      <c r="H49" s="105">
        <v>0</v>
      </c>
    </row>
    <row r="50" spans="1:8" x14ac:dyDescent="0.25">
      <c r="D50" s="20"/>
      <c r="E50" s="20"/>
      <c r="G50" s="20"/>
      <c r="H50" s="20"/>
    </row>
    <row r="51" spans="1:8" ht="18.75" x14ac:dyDescent="0.3">
      <c r="B51" s="8" t="s">
        <v>6</v>
      </c>
      <c r="C51" s="8"/>
      <c r="D51" s="9"/>
      <c r="E51" s="9"/>
      <c r="G51" s="9"/>
      <c r="H51" s="9"/>
    </row>
    <row r="52" spans="1:8" x14ac:dyDescent="0.25">
      <c r="C52" s="4" t="s">
        <v>7</v>
      </c>
      <c r="D52" s="4">
        <v>360</v>
      </c>
      <c r="E52" s="4">
        <v>360</v>
      </c>
      <c r="G52" s="4">
        <v>360</v>
      </c>
      <c r="H52" s="4">
        <v>360</v>
      </c>
    </row>
    <row r="53" spans="1:8" x14ac:dyDescent="0.25">
      <c r="C53" s="13" t="s">
        <v>8</v>
      </c>
      <c r="D53" s="13">
        <v>150</v>
      </c>
      <c r="E53" s="13">
        <v>150</v>
      </c>
      <c r="G53" s="13">
        <v>150</v>
      </c>
      <c r="H53" s="13">
        <v>150</v>
      </c>
    </row>
    <row r="54" spans="1:8" x14ac:dyDescent="0.25">
      <c r="C54" s="13" t="s">
        <v>9</v>
      </c>
      <c r="D54" s="13">
        <v>0</v>
      </c>
      <c r="E54" s="13">
        <v>0</v>
      </c>
      <c r="G54" s="13">
        <v>0</v>
      </c>
      <c r="H54" s="13">
        <v>0</v>
      </c>
    </row>
    <row r="55" spans="1:8" x14ac:dyDescent="0.25">
      <c r="C55" s="13" t="s">
        <v>10</v>
      </c>
      <c r="D55" s="13">
        <v>0</v>
      </c>
      <c r="E55" s="13">
        <v>0</v>
      </c>
      <c r="G55" s="13">
        <v>0</v>
      </c>
      <c r="H55" s="13">
        <v>0</v>
      </c>
    </row>
    <row r="56" spans="1:8" ht="16.5" x14ac:dyDescent="0.3">
      <c r="C56" s="13" t="s">
        <v>48</v>
      </c>
      <c r="D56" s="116">
        <v>1</v>
      </c>
      <c r="E56" s="116">
        <v>1</v>
      </c>
      <c r="G56" s="116">
        <v>1</v>
      </c>
      <c r="H56" s="116">
        <v>1</v>
      </c>
    </row>
    <row r="57" spans="1:8" ht="16.5" x14ac:dyDescent="0.3">
      <c r="C57" s="13" t="s">
        <v>49</v>
      </c>
      <c r="D57" s="116">
        <v>0</v>
      </c>
      <c r="E57" s="116">
        <v>0</v>
      </c>
      <c r="G57" s="116">
        <v>0</v>
      </c>
      <c r="H57" s="116">
        <v>0</v>
      </c>
    </row>
    <row r="58" spans="1:8" ht="16.5" x14ac:dyDescent="0.3">
      <c r="C58" s="13" t="s">
        <v>50</v>
      </c>
      <c r="D58" s="116">
        <v>0.92999999999999994</v>
      </c>
      <c r="E58" s="116">
        <v>0.92999999999999994</v>
      </c>
      <c r="G58" s="116">
        <v>0.92999999999999994</v>
      </c>
      <c r="H58" s="116">
        <v>0.92999999999999994</v>
      </c>
    </row>
    <row r="59" spans="1:8" ht="16.5" x14ac:dyDescent="0.3">
      <c r="C59" s="13" t="s">
        <v>51</v>
      </c>
      <c r="D59" s="116">
        <v>0</v>
      </c>
      <c r="E59" s="116">
        <v>0</v>
      </c>
      <c r="G59" s="116">
        <v>0</v>
      </c>
      <c r="H59" s="116">
        <v>0</v>
      </c>
    </row>
    <row r="60" spans="1:8" x14ac:dyDescent="0.25">
      <c r="D60" s="23"/>
      <c r="E60" s="23"/>
      <c r="G60" s="23"/>
      <c r="H60" s="23"/>
    </row>
    <row r="61" spans="1:8" s="110" customFormat="1" ht="24.75" x14ac:dyDescent="0.6">
      <c r="A61" s="146" t="s">
        <v>11</v>
      </c>
      <c r="B61" s="146"/>
      <c r="C61" s="146"/>
      <c r="D61" s="147"/>
      <c r="E61" s="147"/>
      <c r="F61" s="146"/>
      <c r="G61" s="147"/>
      <c r="H61" s="147"/>
    </row>
    <row r="63" spans="1:8" ht="20.25" x14ac:dyDescent="0.35">
      <c r="B63" s="8" t="s">
        <v>52</v>
      </c>
      <c r="C63" s="8"/>
      <c r="D63" s="9"/>
      <c r="E63" s="9"/>
      <c r="G63" s="9"/>
      <c r="H63" s="9"/>
    </row>
    <row r="64" spans="1:8" ht="16.5" x14ac:dyDescent="0.3">
      <c r="C64" s="24" t="s">
        <v>53</v>
      </c>
      <c r="D64" s="22">
        <f>IF(D13="Y",D9*D67/D11,(D9-D10)*D67/D11)</f>
        <v>2.7500000000000004E-2</v>
      </c>
      <c r="E64" s="22">
        <f>IF(E13="Y",E9*E67/E11,(E9-E10)*E67/E11)</f>
        <v>2.4E-2</v>
      </c>
      <c r="G64" s="22">
        <f>IF(G13="Y",G9*G67/G11,(G9-G10)*G67/G11)</f>
        <v>2.7500000000000004E-2</v>
      </c>
      <c r="H64" s="22">
        <f>IF(H13="Y",H9*H67/H11,(H9-H10)*H67/H11)</f>
        <v>2.4E-2</v>
      </c>
    </row>
    <row r="65" spans="2:8" ht="16.5" x14ac:dyDescent="0.3">
      <c r="C65" s="25" t="s">
        <v>54</v>
      </c>
      <c r="D65" s="26">
        <f>D12/D11</f>
        <v>2.5000000000000001E-3</v>
      </c>
      <c r="E65" s="26">
        <f>E12/E11</f>
        <v>2E-3</v>
      </c>
      <c r="G65" s="26">
        <f>G12/G11</f>
        <v>2.5000000000000001E-3</v>
      </c>
      <c r="H65" s="26">
        <f>H12/H11</f>
        <v>2E-3</v>
      </c>
    </row>
    <row r="66" spans="2:8" x14ac:dyDescent="0.25">
      <c r="C66" s="25" t="s">
        <v>12</v>
      </c>
      <c r="D66" s="27">
        <v>0.1</v>
      </c>
      <c r="E66" s="27">
        <v>0.1</v>
      </c>
      <c r="G66" s="27">
        <v>0.05</v>
      </c>
      <c r="H66" s="27">
        <v>0.05</v>
      </c>
    </row>
    <row r="67" spans="2:8" x14ac:dyDescent="0.25">
      <c r="C67" s="25" t="s">
        <v>13</v>
      </c>
      <c r="D67" s="26">
        <v>0.08</v>
      </c>
      <c r="E67" s="26">
        <v>0.08</v>
      </c>
      <c r="G67" s="26">
        <v>0.08</v>
      </c>
      <c r="H67" s="26">
        <v>0.08</v>
      </c>
    </row>
    <row r="69" spans="2:8" ht="18.75" x14ac:dyDescent="0.3">
      <c r="B69" s="8" t="s">
        <v>14</v>
      </c>
      <c r="C69" s="8"/>
      <c r="D69" s="28"/>
      <c r="E69" s="28"/>
      <c r="G69" s="28"/>
      <c r="H69" s="28"/>
    </row>
    <row r="70" spans="2:8" ht="34.5" x14ac:dyDescent="0.4">
      <c r="D70" s="29" t="s">
        <v>55</v>
      </c>
      <c r="E70" s="29" t="s">
        <v>55</v>
      </c>
      <c r="G70" s="29" t="s">
        <v>55</v>
      </c>
      <c r="H70" s="29" t="s">
        <v>55</v>
      </c>
    </row>
    <row r="71" spans="2:8" x14ac:dyDescent="0.25">
      <c r="C71" s="4" t="s">
        <v>96</v>
      </c>
      <c r="D71" s="30">
        <f t="shared" ref="D71:E73" si="0">IF(SUM(D$64:D$65)&gt;=D23,1/D$67,0%)</f>
        <v>0</v>
      </c>
      <c r="E71" s="30">
        <f t="shared" si="0"/>
        <v>0</v>
      </c>
      <c r="G71" s="30">
        <f t="shared" ref="G71:H71" si="1">IF(SUM(G$64:G$65)&gt;=G23,1/G$67,0%)</f>
        <v>0</v>
      </c>
      <c r="H71" s="30">
        <f t="shared" si="1"/>
        <v>0</v>
      </c>
    </row>
    <row r="72" spans="2:8" x14ac:dyDescent="0.25">
      <c r="C72" s="13" t="s">
        <v>4</v>
      </c>
      <c r="D72" s="30">
        <f t="shared" si="0"/>
        <v>0</v>
      </c>
      <c r="E72" s="30">
        <f t="shared" si="0"/>
        <v>0</v>
      </c>
      <c r="G72" s="30">
        <f t="shared" ref="G72:H72" si="2">IF(SUM(G$64:G$65)&gt;=G24,1/G$67,0%)</f>
        <v>0</v>
      </c>
      <c r="H72" s="30">
        <f t="shared" si="2"/>
        <v>0</v>
      </c>
    </row>
    <row r="73" spans="2:8" x14ac:dyDescent="0.25">
      <c r="C73" s="13" t="s">
        <v>5</v>
      </c>
      <c r="D73" s="30">
        <f t="shared" si="0"/>
        <v>12.5</v>
      </c>
      <c r="E73" s="30">
        <f t="shared" si="0"/>
        <v>12.5</v>
      </c>
      <c r="G73" s="30">
        <f t="shared" ref="G73:H73" si="3">IF(SUM(G$64:G$65)&gt;=G25,1/G$67,0%)</f>
        <v>12.5</v>
      </c>
      <c r="H73" s="30">
        <f t="shared" si="3"/>
        <v>12.5</v>
      </c>
    </row>
    <row r="74" spans="2:8" ht="34.5" x14ac:dyDescent="0.4">
      <c r="D74" s="29" t="s">
        <v>56</v>
      </c>
      <c r="E74" s="29" t="s">
        <v>56</v>
      </c>
      <c r="G74" s="29" t="s">
        <v>56</v>
      </c>
      <c r="H74" s="29" t="s">
        <v>56</v>
      </c>
    </row>
    <row r="75" spans="2:8" x14ac:dyDescent="0.25">
      <c r="C75" s="4" t="s">
        <v>96</v>
      </c>
      <c r="D75" s="30">
        <f t="shared" ref="D75:E77" si="4">IF(SUM(D$64:D$65)&lt;=D18,D$66,0%)</f>
        <v>0.1</v>
      </c>
      <c r="E75" s="30">
        <f t="shared" si="4"/>
        <v>0.1</v>
      </c>
      <c r="G75" s="30">
        <f t="shared" ref="G75:H75" si="5">IF(SUM(G$64:G$65)&lt;=G18,G$66,0%)</f>
        <v>0.05</v>
      </c>
      <c r="H75" s="30">
        <f t="shared" si="5"/>
        <v>0.05</v>
      </c>
    </row>
    <row r="76" spans="2:8" x14ac:dyDescent="0.25">
      <c r="C76" s="13" t="s">
        <v>4</v>
      </c>
      <c r="D76" s="30">
        <f t="shared" si="4"/>
        <v>0</v>
      </c>
      <c r="E76" s="30">
        <f t="shared" si="4"/>
        <v>0</v>
      </c>
      <c r="G76" s="30">
        <f t="shared" ref="G76:H76" si="6">IF(SUM(G$64:G$65)&lt;=G19,G$66,0%)</f>
        <v>0</v>
      </c>
      <c r="H76" s="30">
        <f t="shared" si="6"/>
        <v>0</v>
      </c>
    </row>
    <row r="77" spans="2:8" x14ac:dyDescent="0.25">
      <c r="C77" s="13" t="s">
        <v>5</v>
      </c>
      <c r="D77" s="30">
        <f t="shared" si="4"/>
        <v>0</v>
      </c>
      <c r="E77" s="30">
        <f t="shared" si="4"/>
        <v>0</v>
      </c>
      <c r="G77" s="30">
        <f t="shared" ref="G77:H77" si="7">IF(SUM(G$64:G$65)&lt;=G20,G$66,0%)</f>
        <v>0</v>
      </c>
      <c r="H77" s="30">
        <f t="shared" si="7"/>
        <v>0</v>
      </c>
    </row>
    <row r="78" spans="2:8" ht="17.25" x14ac:dyDescent="0.4">
      <c r="D78" s="29" t="s">
        <v>57</v>
      </c>
      <c r="E78" s="29" t="s">
        <v>57</v>
      </c>
      <c r="G78" s="29" t="s">
        <v>57</v>
      </c>
      <c r="H78" s="29" t="s">
        <v>57</v>
      </c>
    </row>
    <row r="79" spans="2:8" x14ac:dyDescent="0.25">
      <c r="C79" s="4" t="s">
        <v>96</v>
      </c>
      <c r="D79" s="30">
        <f>IF(AND(SUM(D$64:D$65)&gt;D18,SUM(D$64:D$65)&lt;D23),(1/D$67)*(SUM(D$64:D$65)-D18)/(D23-D18)+D$66*(D23-SUM(D$64:D$65))/(D23-D18),0%)</f>
        <v>0</v>
      </c>
      <c r="E79" s="30">
        <f t="shared" ref="E79:E81" si="8">IF(AND(SUM(E$64:E$65)&gt;E18,SUM(E$64:E$65)&lt;E23),(1/E$67)*(SUM(E$64:E$65)-E18)/(E23-E18)+E$66*(E23-SUM(E$64:E$65))/(E23-E18),0%)</f>
        <v>0</v>
      </c>
      <c r="G79" s="30">
        <f>IF(AND(SUM(G$64:G$65)&gt;G18,SUM(G$64:G$65)&lt;G23),(1/G$67)*(SUM(G$64:G$65)-G18)/(G23-G18)+G$66*(G23-SUM(G$64:G$65))/(G23-G18),0%)</f>
        <v>0</v>
      </c>
      <c r="H79" s="30">
        <f t="shared" ref="H79:H81" si="9">IF(AND(SUM(H$64:H$65)&gt;H18,SUM(H$64:H$65)&lt;H23),(1/H$67)*(SUM(H$64:H$65)-H18)/(H23-H18)+H$66*(H23-SUM(H$64:H$65))/(H23-H18),0%)</f>
        <v>0</v>
      </c>
    </row>
    <row r="80" spans="2:8" x14ac:dyDescent="0.25">
      <c r="C80" s="13" t="s">
        <v>4</v>
      </c>
      <c r="D80" s="30">
        <f t="shared" ref="D80" si="10">IF(AND(SUM(D$64:D$65)&gt;D19,SUM(D$64:D$65)&lt;D24),(1/D$67)*(SUM(D$64:D$65)-D19)/(D24-D19)+D$66*(D24-SUM(D$64:D$65))/(D24-D19),0%)</f>
        <v>7.85</v>
      </c>
      <c r="E80" s="30">
        <f t="shared" si="8"/>
        <v>6.61</v>
      </c>
      <c r="G80" s="30">
        <f t="shared" ref="G80:G81" si="11">IF(AND(SUM(G$64:G$65)&gt;G19,SUM(G$64:G$65)&lt;G24),(1/G$67)*(SUM(G$64:G$65)-G19)/(G24-G19)+G$66*(G24-SUM(G$64:G$65))/(G24-G19),0%)</f>
        <v>7.8312499999999998</v>
      </c>
      <c r="H80" s="30">
        <f t="shared" si="9"/>
        <v>6.5862499999999997</v>
      </c>
    </row>
    <row r="81" spans="2:8" x14ac:dyDescent="0.25">
      <c r="C81" s="13" t="s">
        <v>5</v>
      </c>
      <c r="D81" s="30">
        <f t="shared" ref="D81" si="12">IF(AND(SUM(D$64:D$65)&gt;D20,SUM(D$64:D$65)&lt;D25),(1/D$67)*(SUM(D$64:D$65)-D20)/(D25-D20)+D$66*(D25-SUM(D$64:D$65))/(D25-D20),0%)</f>
        <v>0</v>
      </c>
      <c r="E81" s="30">
        <f t="shared" si="8"/>
        <v>0</v>
      </c>
      <c r="G81" s="30">
        <f t="shared" si="11"/>
        <v>0</v>
      </c>
      <c r="H81" s="30">
        <f t="shared" si="9"/>
        <v>0</v>
      </c>
    </row>
    <row r="82" spans="2:8" ht="17.25" x14ac:dyDescent="0.4">
      <c r="D82" s="29" t="s">
        <v>58</v>
      </c>
      <c r="E82" s="29" t="s">
        <v>58</v>
      </c>
      <c r="G82" s="29" t="s">
        <v>58</v>
      </c>
      <c r="H82" s="29" t="s">
        <v>58</v>
      </c>
    </row>
    <row r="83" spans="2:8" x14ac:dyDescent="0.25">
      <c r="C83" s="4" t="s">
        <v>96</v>
      </c>
      <c r="D83" s="30">
        <f t="shared" ref="D83:E85" si="13">MAX(D$66,SUM(D71,D75,D79))</f>
        <v>0.1</v>
      </c>
      <c r="E83" s="30">
        <f t="shared" si="13"/>
        <v>0.1</v>
      </c>
      <c r="G83" s="30">
        <f t="shared" ref="G83:H83" si="14">MAX(G$66,SUM(G71,G75,G79))</f>
        <v>0.05</v>
      </c>
      <c r="H83" s="30">
        <f t="shared" si="14"/>
        <v>0.05</v>
      </c>
    </row>
    <row r="84" spans="2:8" x14ac:dyDescent="0.25">
      <c r="C84" s="13" t="s">
        <v>4</v>
      </c>
      <c r="D84" s="30">
        <f t="shared" si="13"/>
        <v>7.85</v>
      </c>
      <c r="E84" s="30">
        <f t="shared" si="13"/>
        <v>6.61</v>
      </c>
      <c r="G84" s="30">
        <f t="shared" ref="G84:H84" si="15">MAX(G$66,SUM(G72,G76,G80))</f>
        <v>7.8312499999999998</v>
      </c>
      <c r="H84" s="30">
        <f t="shared" si="15"/>
        <v>6.5862499999999997</v>
      </c>
    </row>
    <row r="85" spans="2:8" x14ac:dyDescent="0.25">
      <c r="C85" s="13" t="s">
        <v>5</v>
      </c>
      <c r="D85" s="30">
        <f t="shared" si="13"/>
        <v>12.5</v>
      </c>
      <c r="E85" s="30">
        <f t="shared" si="13"/>
        <v>12.5</v>
      </c>
      <c r="G85" s="30">
        <f t="shared" ref="G85:H85" si="16">MAX(G$66,SUM(G73,G77,G81))</f>
        <v>12.5</v>
      </c>
      <c r="H85" s="30">
        <f t="shared" si="16"/>
        <v>12.5</v>
      </c>
    </row>
    <row r="87" spans="2:8" ht="18.75" x14ac:dyDescent="0.3">
      <c r="B87" s="8" t="s">
        <v>15</v>
      </c>
      <c r="C87" s="8"/>
      <c r="D87" s="28"/>
      <c r="E87" s="28"/>
      <c r="G87" s="28"/>
      <c r="H87" s="28"/>
    </row>
    <row r="88" spans="2:8" ht="8.1" customHeight="1" x14ac:dyDescent="0.25"/>
    <row r="89" spans="2:8" ht="17.25" x14ac:dyDescent="0.4">
      <c r="C89" s="17"/>
      <c r="D89" s="29" t="s">
        <v>59</v>
      </c>
      <c r="E89" s="29" t="s">
        <v>59</v>
      </c>
      <c r="G89" s="29" t="s">
        <v>59</v>
      </c>
      <c r="H89" s="29" t="s">
        <v>59</v>
      </c>
    </row>
    <row r="90" spans="2:8" x14ac:dyDescent="0.25">
      <c r="C90" s="4" t="s">
        <v>96</v>
      </c>
      <c r="D90" s="30">
        <f t="shared" ref="D90:E92" si="17">IF(SUM(D$64:D$65)&gt;=D23,100%,IF(SUM(D$64:D$65)&lt;=D18,0%,(SUM(D$64:D$65)-D18)/(D23-D18)))</f>
        <v>0</v>
      </c>
      <c r="E90" s="30">
        <f t="shared" si="17"/>
        <v>0</v>
      </c>
      <c r="G90" s="30">
        <f t="shared" ref="G90:H90" si="18">IF(SUM(G$64:G$65)&gt;=G23,100%,IF(SUM(G$64:G$65)&lt;=G18,0%,(SUM(G$64:G$65)-G18)/(G23-G18)))</f>
        <v>0</v>
      </c>
      <c r="H90" s="30">
        <f t="shared" si="18"/>
        <v>0</v>
      </c>
    </row>
    <row r="91" spans="2:8" x14ac:dyDescent="0.25">
      <c r="C91" s="13" t="s">
        <v>4</v>
      </c>
      <c r="D91" s="30">
        <f t="shared" si="17"/>
        <v>0.625</v>
      </c>
      <c r="E91" s="30">
        <f t="shared" si="17"/>
        <v>0.52500000000000002</v>
      </c>
      <c r="G91" s="30">
        <f t="shared" ref="G91:H91" si="19">IF(SUM(G$64:G$65)&gt;=G24,100%,IF(SUM(G$64:G$65)&lt;=G19,0%,(SUM(G$64:G$65)-G19)/(G24-G19)))</f>
        <v>0.625</v>
      </c>
      <c r="H91" s="30">
        <f t="shared" si="19"/>
        <v>0.52500000000000002</v>
      </c>
    </row>
    <row r="92" spans="2:8" x14ac:dyDescent="0.25">
      <c r="C92" s="13" t="s">
        <v>5</v>
      </c>
      <c r="D92" s="30">
        <f t="shared" si="17"/>
        <v>1</v>
      </c>
      <c r="E92" s="30">
        <f t="shared" si="17"/>
        <v>1</v>
      </c>
      <c r="G92" s="30">
        <f t="shared" ref="G92:H92" si="20">IF(SUM(G$64:G$65)&gt;=G25,100%,IF(SUM(G$64:G$65)&lt;=G20,0%,(SUM(G$64:G$65)-G20)/(G25-G20)))</f>
        <v>1</v>
      </c>
      <c r="H92" s="30">
        <f t="shared" si="20"/>
        <v>1</v>
      </c>
    </row>
    <row r="94" spans="2:8" ht="17.25" x14ac:dyDescent="0.4">
      <c r="C94" s="17"/>
      <c r="D94" s="29" t="s">
        <v>60</v>
      </c>
      <c r="E94" s="29" t="s">
        <v>60</v>
      </c>
      <c r="G94" s="29" t="s">
        <v>60</v>
      </c>
      <c r="H94" s="29" t="s">
        <v>60</v>
      </c>
    </row>
    <row r="95" spans="2:8" x14ac:dyDescent="0.25">
      <c r="C95" s="4" t="s">
        <v>96</v>
      </c>
      <c r="D95" s="30">
        <f t="shared" ref="D95:E97" si="21">IF(D$65&gt;=D23,100%,IF(D$65&lt;=D18,0%,(D$65-D18)/(D23-D18)))</f>
        <v>0</v>
      </c>
      <c r="E95" s="30">
        <f t="shared" si="21"/>
        <v>0</v>
      </c>
      <c r="G95" s="30">
        <f t="shared" ref="G95:H95" si="22">IF(G$65&gt;=G23,100%,IF(G$65&lt;=G18,0%,(G$65-G18)/(G23-G18)))</f>
        <v>0</v>
      </c>
      <c r="H95" s="30">
        <f t="shared" si="22"/>
        <v>0</v>
      </c>
    </row>
    <row r="96" spans="2:8" x14ac:dyDescent="0.25">
      <c r="C96" s="13" t="s">
        <v>4</v>
      </c>
      <c r="D96" s="30">
        <f t="shared" si="21"/>
        <v>0</v>
      </c>
      <c r="E96" s="30">
        <f t="shared" si="21"/>
        <v>0</v>
      </c>
      <c r="G96" s="30">
        <f t="shared" ref="G96:H96" si="23">IF(G$65&gt;=G24,100%,IF(G$65&lt;=G19,0%,(G$65-G19)/(G24-G19)))</f>
        <v>0</v>
      </c>
      <c r="H96" s="30">
        <f t="shared" si="23"/>
        <v>0</v>
      </c>
    </row>
    <row r="97" spans="2:8" x14ac:dyDescent="0.25">
      <c r="C97" s="13" t="s">
        <v>5</v>
      </c>
      <c r="D97" s="30">
        <f t="shared" si="21"/>
        <v>0.5</v>
      </c>
      <c r="E97" s="30">
        <f t="shared" si="21"/>
        <v>0.4</v>
      </c>
      <c r="G97" s="30">
        <f t="shared" ref="G97:H97" si="24">IF(G$65&gt;=G25,100%,IF(G$65&lt;=G20,0%,(G$65-G20)/(G25-G20)))</f>
        <v>0.5</v>
      </c>
      <c r="H97" s="30">
        <f t="shared" si="24"/>
        <v>0.4</v>
      </c>
    </row>
    <row r="99" spans="2:8" ht="18.75" x14ac:dyDescent="0.3">
      <c r="B99" s="8" t="s">
        <v>16</v>
      </c>
      <c r="C99" s="8"/>
      <c r="D99" s="28"/>
      <c r="E99" s="28"/>
      <c r="G99" s="28"/>
      <c r="H99" s="28"/>
    </row>
    <row r="100" spans="2:8" ht="8.1" customHeight="1" x14ac:dyDescent="0.25"/>
    <row r="101" spans="2:8" x14ac:dyDescent="0.25">
      <c r="C101" s="9" t="s">
        <v>17</v>
      </c>
      <c r="D101" s="28"/>
      <c r="E101" s="28"/>
      <c r="G101" s="28"/>
      <c r="H101" s="28"/>
    </row>
    <row r="103" spans="2:8" ht="17.25" x14ac:dyDescent="0.4">
      <c r="D103" s="31" t="s">
        <v>61</v>
      </c>
      <c r="E103" s="31" t="s">
        <v>61</v>
      </c>
      <c r="G103" s="31" t="s">
        <v>61</v>
      </c>
      <c r="H103" s="31" t="s">
        <v>61</v>
      </c>
    </row>
    <row r="104" spans="2:8" x14ac:dyDescent="0.25">
      <c r="C104" s="4" t="s">
        <v>96</v>
      </c>
      <c r="D104" s="30">
        <f t="shared" ref="D104:E106" si="25">MAX(0%,D90-MAX(D95,D42))</f>
        <v>0</v>
      </c>
      <c r="E104" s="30">
        <f t="shared" si="25"/>
        <v>0</v>
      </c>
      <c r="G104" s="30">
        <f t="shared" ref="G104:H104" si="26">MAX(0%,G90-MAX(G95,G42))</f>
        <v>0</v>
      </c>
      <c r="H104" s="30">
        <f t="shared" si="26"/>
        <v>0</v>
      </c>
    </row>
    <row r="105" spans="2:8" x14ac:dyDescent="0.25">
      <c r="C105" s="13" t="s">
        <v>4</v>
      </c>
      <c r="D105" s="32">
        <f t="shared" si="25"/>
        <v>0.42499999999999999</v>
      </c>
      <c r="E105" s="32">
        <f t="shared" si="25"/>
        <v>0.27500000000000002</v>
      </c>
      <c r="G105" s="32">
        <f t="shared" ref="G105:H105" si="27">MAX(0%,G91-MAX(G96,G43))</f>
        <v>0.42499999999999999</v>
      </c>
      <c r="H105" s="32">
        <f t="shared" si="27"/>
        <v>0.27500000000000002</v>
      </c>
    </row>
    <row r="106" spans="2:8" x14ac:dyDescent="0.25">
      <c r="C106" s="13" t="s">
        <v>5</v>
      </c>
      <c r="D106" s="32">
        <f t="shared" si="25"/>
        <v>0.5</v>
      </c>
      <c r="E106" s="32">
        <f t="shared" si="25"/>
        <v>0.6</v>
      </c>
      <c r="G106" s="32">
        <f t="shared" ref="G106:H106" si="28">MAX(0%,G92-MAX(G97,G44))</f>
        <v>0.5</v>
      </c>
      <c r="H106" s="32">
        <f t="shared" si="28"/>
        <v>0.6</v>
      </c>
    </row>
    <row r="108" spans="2:8" ht="17.25" x14ac:dyDescent="0.4">
      <c r="D108" s="31" t="s">
        <v>62</v>
      </c>
      <c r="E108" s="31" t="s">
        <v>62</v>
      </c>
      <c r="G108" s="31" t="s">
        <v>62</v>
      </c>
      <c r="H108" s="31" t="s">
        <v>62</v>
      </c>
    </row>
    <row r="109" spans="2:8" x14ac:dyDescent="0.25">
      <c r="C109" s="4" t="s">
        <v>96</v>
      </c>
      <c r="D109" s="33">
        <f t="shared" ref="D109:E111" si="29">100%-MAX(D90,D42)</f>
        <v>1</v>
      </c>
      <c r="E109" s="33">
        <f t="shared" si="29"/>
        <v>1</v>
      </c>
      <c r="G109" s="33">
        <f t="shared" ref="G109:H109" si="30">100%-MAX(G90,G42)</f>
        <v>1</v>
      </c>
      <c r="H109" s="33">
        <f t="shared" si="30"/>
        <v>1</v>
      </c>
    </row>
    <row r="110" spans="2:8" x14ac:dyDescent="0.25">
      <c r="C110" s="13" t="s">
        <v>4</v>
      </c>
      <c r="D110" s="33">
        <f t="shared" si="29"/>
        <v>0.375</v>
      </c>
      <c r="E110" s="33">
        <f t="shared" si="29"/>
        <v>0.47499999999999998</v>
      </c>
      <c r="G110" s="33">
        <f t="shared" ref="G110:H110" si="31">100%-MAX(G91,G43)</f>
        <v>0.375</v>
      </c>
      <c r="H110" s="33">
        <f t="shared" si="31"/>
        <v>0.47499999999999998</v>
      </c>
    </row>
    <row r="111" spans="2:8" x14ac:dyDescent="0.25">
      <c r="C111" s="13" t="s">
        <v>5</v>
      </c>
      <c r="D111" s="33">
        <f t="shared" si="29"/>
        <v>0</v>
      </c>
      <c r="E111" s="33">
        <f t="shared" si="29"/>
        <v>0</v>
      </c>
      <c r="G111" s="33">
        <f t="shared" ref="G111:H111" si="32">100%-MAX(G92,G44)</f>
        <v>0</v>
      </c>
      <c r="H111" s="33">
        <f t="shared" si="32"/>
        <v>0</v>
      </c>
    </row>
    <row r="113" spans="3:10" ht="17.25" x14ac:dyDescent="0.4">
      <c r="D113" s="31" t="s">
        <v>63</v>
      </c>
      <c r="E113" s="31" t="s">
        <v>63</v>
      </c>
      <c r="G113" s="31" t="s">
        <v>63</v>
      </c>
      <c r="H113" s="31" t="s">
        <v>63</v>
      </c>
    </row>
    <row r="114" spans="3:10" x14ac:dyDescent="0.25">
      <c r="C114" s="4" t="s">
        <v>96</v>
      </c>
      <c r="D114" s="30">
        <f>IF(D95&lt;100%,MAX(0%,1-D47*(D104*(1/D$67)+D109*D$66)/(D83-D95*(1/D$67))),100%)</f>
        <v>1</v>
      </c>
      <c r="E114" s="30">
        <f t="shared" ref="E114:E116" si="33">IF(E95&lt;100%,MAX(0%,1-E47*(E104*(1/E$67)+E109*E$66)/(E83-E95*(1/E$67))),100%)</f>
        <v>1</v>
      </c>
      <c r="G114" s="30">
        <f t="shared" ref="G114:H114" si="34">IF(G95&lt;100%,MAX(0%,1-G47*(G104*(1/G$67)+G109*G$66)/(G83-G95*(1/G$67))),100%)</f>
        <v>1</v>
      </c>
      <c r="H114" s="30">
        <f t="shared" si="34"/>
        <v>1</v>
      </c>
    </row>
    <row r="115" spans="3:10" x14ac:dyDescent="0.25">
      <c r="C115" s="13" t="s">
        <v>4</v>
      </c>
      <c r="D115" s="30">
        <f t="shared" ref="D115" si="35">IF(D96&lt;100%,MAX(0%,1-D48*(D105*(1/D$67)+D110*D$66)/(D84-D96*(1/D$67))),100%)</f>
        <v>0.96456050955414008</v>
      </c>
      <c r="E115" s="30">
        <f t="shared" si="33"/>
        <v>0.96045763993948563</v>
      </c>
      <c r="G115" s="30">
        <f>IF(G96&lt;100%,MAX(0%,1-G48*(G105*(1/G$67)+G110*G$66)/(G84-G96*(1/G$67))),100%)</f>
        <v>0.96460015961691936</v>
      </c>
      <c r="H115" s="30">
        <f t="shared" ref="H115" si="36">IF(H96&lt;100%,MAX(0%,1-H48*(H105*(1/H$67)+H110*H$66)/(H84-H96*(1/H$67))),100%)</f>
        <v>0.96058550009489463</v>
      </c>
      <c r="I115" s="158"/>
      <c r="J115" s="159"/>
    </row>
    <row r="116" spans="3:10" x14ac:dyDescent="0.25">
      <c r="C116" s="13" t="s">
        <v>5</v>
      </c>
      <c r="D116" s="30">
        <f t="shared" ref="D116" si="37">IF(D97&lt;100%,MAX(0%,1-D49*(D106*(1/D$67)+D111*D$66)/(D85-D97*(1/D$67))),100%)</f>
        <v>1</v>
      </c>
      <c r="E116" s="30">
        <f t="shared" si="33"/>
        <v>1</v>
      </c>
      <c r="G116" s="30">
        <f t="shared" ref="G116:H116" si="38">IF(G97&lt;100%,MAX(0%,1-G49*(G106*(1/G$67)+G111*G$66)/(G85-G97*(1/G$67))),100%)</f>
        <v>1</v>
      </c>
      <c r="H116" s="30">
        <f t="shared" si="38"/>
        <v>1</v>
      </c>
    </row>
    <row r="118" spans="3:10" x14ac:dyDescent="0.25">
      <c r="C118" s="9" t="s">
        <v>18</v>
      </c>
      <c r="D118" s="28"/>
      <c r="E118" s="28"/>
      <c r="G118" s="28"/>
      <c r="H118" s="28"/>
    </row>
    <row r="119" spans="3:10" ht="16.5" x14ac:dyDescent="0.3">
      <c r="C119" s="13" t="s">
        <v>64</v>
      </c>
      <c r="D119" s="34">
        <f>(D56-D57)/(100%-D57)</f>
        <v>1</v>
      </c>
      <c r="E119" s="34">
        <f>(E56-E57)/(100%-E57)</f>
        <v>1</v>
      </c>
      <c r="G119" s="34">
        <f>(G56-G57)/(100%-G57)</f>
        <v>1</v>
      </c>
      <c r="H119" s="34">
        <f>(H56-H57)/(100%-H57)</f>
        <v>1</v>
      </c>
    </row>
    <row r="120" spans="3:10" ht="16.5" x14ac:dyDescent="0.3">
      <c r="C120" s="13" t="s">
        <v>65</v>
      </c>
      <c r="D120" s="34">
        <f>(D58-D59)/(100%-D59)</f>
        <v>0.92999999999999994</v>
      </c>
      <c r="E120" s="34">
        <f>(E58-E59)/(100%-E59)</f>
        <v>0.92999999999999994</v>
      </c>
      <c r="G120" s="34">
        <f>(G58-G59)/(100%-G59)</f>
        <v>0.92999999999999994</v>
      </c>
      <c r="H120" s="34">
        <f>(H58-H59)/(100%-H59)</f>
        <v>0.92999999999999994</v>
      </c>
    </row>
    <row r="121" spans="3:10" ht="16.5" x14ac:dyDescent="0.3">
      <c r="C121" s="24" t="s">
        <v>66</v>
      </c>
      <c r="D121" s="35">
        <f>MAX(SUM(D$64:D$65)*D119-D$65,0%)</f>
        <v>2.7500000000000004E-2</v>
      </c>
      <c r="E121" s="35">
        <f>MAX(SUM(E$64:E$65)*E119-E$65,0%)</f>
        <v>2.4E-2</v>
      </c>
      <c r="G121" s="35">
        <f>MAX(SUM(G$64:G$65)*G119-G$65,0%)</f>
        <v>2.7500000000000004E-2</v>
      </c>
      <c r="H121" s="35">
        <f>MAX(SUM(H$64:H$65)*H119-H$65,0%)</f>
        <v>2.4E-2</v>
      </c>
    </row>
    <row r="122" spans="3:10" ht="16.5" x14ac:dyDescent="0.3">
      <c r="C122" s="25" t="s">
        <v>67</v>
      </c>
      <c r="D122" s="36">
        <f>MAX(SUM(D$64:D$65)*D120-D$65,0%)</f>
        <v>2.5400000000000002E-2</v>
      </c>
      <c r="E122" s="36">
        <f>MAX(SUM(E$64:E$65)*E120-E$65,0%)</f>
        <v>2.2179999999999998E-2</v>
      </c>
      <c r="G122" s="36">
        <f>MAX(SUM(G$64:G$65)*G120-G$65,0%)</f>
        <v>2.5400000000000002E-2</v>
      </c>
      <c r="H122" s="36">
        <f>MAX(SUM(H$64:H$65)*H120-H$65,0%)</f>
        <v>2.2179999999999998E-2</v>
      </c>
    </row>
    <row r="124" spans="3:10" ht="18" x14ac:dyDescent="0.4">
      <c r="D124" s="31" t="s">
        <v>68</v>
      </c>
      <c r="E124" s="31" t="s">
        <v>68</v>
      </c>
      <c r="G124" s="31" t="s">
        <v>68</v>
      </c>
      <c r="H124" s="31" t="s">
        <v>68</v>
      </c>
    </row>
    <row r="125" spans="3:10" x14ac:dyDescent="0.25">
      <c r="C125" s="4" t="s">
        <v>96</v>
      </c>
      <c r="D125" s="30">
        <f t="shared" ref="D125:E127" si="39">IF(D90&gt;D95,(MAX(0,MIN(1,(D$121+D$65-D18)/(D23-D18)))-D95)/(D90-D95),100%)</f>
        <v>1</v>
      </c>
      <c r="E125" s="30">
        <f t="shared" si="39"/>
        <v>1</v>
      </c>
      <c r="G125" s="30">
        <f t="shared" ref="G125:H125" si="40">IF(G90&gt;G95,(MAX(0,MIN(1,(G$121+G$65-G18)/(G23-G18)))-G95)/(G90-G95),100%)</f>
        <v>1</v>
      </c>
      <c r="H125" s="30">
        <f t="shared" si="40"/>
        <v>1</v>
      </c>
    </row>
    <row r="126" spans="3:10" x14ac:dyDescent="0.25">
      <c r="C126" s="13" t="s">
        <v>4</v>
      </c>
      <c r="D126" s="30">
        <f t="shared" si="39"/>
        <v>1</v>
      </c>
      <c r="E126" s="30">
        <f t="shared" si="39"/>
        <v>1</v>
      </c>
      <c r="G126" s="30">
        <f t="shared" ref="G126:H126" si="41">IF(G91&gt;G96,(MAX(0,MIN(1,(G$121+G$65-G19)/(G24-G19)))-G96)/(G91-G96),100%)</f>
        <v>1</v>
      </c>
      <c r="H126" s="30">
        <f t="shared" si="41"/>
        <v>1</v>
      </c>
    </row>
    <row r="127" spans="3:10" x14ac:dyDescent="0.25">
      <c r="C127" s="13" t="s">
        <v>5</v>
      </c>
      <c r="D127" s="30">
        <f t="shared" si="39"/>
        <v>1</v>
      </c>
      <c r="E127" s="30">
        <f t="shared" si="39"/>
        <v>1</v>
      </c>
      <c r="G127" s="30">
        <f t="shared" ref="G127:H127" si="42">IF(G92&gt;G97,(MAX(0,MIN(1,(G$121+G$65-G20)/(G25-G20)))-G97)/(G92-G97),100%)</f>
        <v>1</v>
      </c>
      <c r="H127" s="30">
        <f t="shared" si="42"/>
        <v>1</v>
      </c>
    </row>
    <row r="129" spans="2:8" ht="18" x14ac:dyDescent="0.4">
      <c r="D129" s="31" t="s">
        <v>69</v>
      </c>
      <c r="E129" s="31" t="s">
        <v>69</v>
      </c>
      <c r="G129" s="31" t="s">
        <v>69</v>
      </c>
      <c r="H129" s="31" t="s">
        <v>69</v>
      </c>
    </row>
    <row r="130" spans="2:8" x14ac:dyDescent="0.25">
      <c r="C130" s="4" t="s">
        <v>96</v>
      </c>
      <c r="D130" s="30">
        <f t="shared" ref="D130:E132" si="43">IF(D90&gt;D95,(MAX(0,MIN(1,(D$122+D$65-D18)/(D23-D18)))-D95)/(D90-D95),100%)</f>
        <v>1</v>
      </c>
      <c r="E130" s="30">
        <f t="shared" si="43"/>
        <v>1</v>
      </c>
      <c r="G130" s="30">
        <f t="shared" ref="G130:H130" si="44">IF(G90&gt;G95,(MAX(0,MIN(1,(G$122+G$65-G18)/(G23-G18)))-G95)/(G90-G95),100%)</f>
        <v>1</v>
      </c>
      <c r="H130" s="30">
        <f t="shared" si="44"/>
        <v>1</v>
      </c>
    </row>
    <row r="131" spans="2:8" x14ac:dyDescent="0.25">
      <c r="C131" s="13" t="s">
        <v>4</v>
      </c>
      <c r="D131" s="30">
        <f t="shared" si="43"/>
        <v>0.91600000000000004</v>
      </c>
      <c r="E131" s="30">
        <f t="shared" si="43"/>
        <v>0.91333333333333322</v>
      </c>
      <c r="G131" s="30">
        <f t="shared" ref="G131:H131" si="45">IF(G91&gt;G96,(MAX(0,MIN(1,(G$122+G$65-G19)/(G24-G19)))-G96)/(G91-G96),100%)</f>
        <v>0.91600000000000004</v>
      </c>
      <c r="H131" s="30">
        <f t="shared" si="45"/>
        <v>0.91333333333333322</v>
      </c>
    </row>
    <row r="132" spans="2:8" x14ac:dyDescent="0.25">
      <c r="C132" s="13" t="s">
        <v>5</v>
      </c>
      <c r="D132" s="30">
        <f t="shared" si="43"/>
        <v>1</v>
      </c>
      <c r="E132" s="30">
        <f t="shared" si="43"/>
        <v>1</v>
      </c>
      <c r="G132" s="30">
        <f t="shared" ref="G132:H132" si="46">IF(G92&gt;G97,(MAX(0,MIN(1,(G$122+G$65-G20)/(G25-G20)))-G97)/(G92-G97),100%)</f>
        <v>1</v>
      </c>
      <c r="H132" s="30">
        <f t="shared" si="46"/>
        <v>1</v>
      </c>
    </row>
    <row r="134" spans="2:8" x14ac:dyDescent="0.25">
      <c r="C134" s="9" t="s">
        <v>146</v>
      </c>
      <c r="D134" s="28"/>
      <c r="E134" s="28"/>
      <c r="G134" s="28"/>
      <c r="H134" s="28"/>
    </row>
    <row r="135" spans="2:8" ht="16.5" x14ac:dyDescent="0.25">
      <c r="C135" s="64" t="s">
        <v>70</v>
      </c>
      <c r="D135" s="65">
        <f>IF(D64&lt;=1.6%,100%,IF(D64&gt;=4%,90%,1.06667-4.16667*D64))</f>
        <v>0.95208657500000005</v>
      </c>
      <c r="E135" s="65">
        <f>IF(E64&lt;=1.6%,100%,IF(E64&gt;=4%,90%,1.06667-4.16667*E64))</f>
        <v>0.96666991999999996</v>
      </c>
      <c r="G135" s="65">
        <v>1</v>
      </c>
      <c r="H135" s="65">
        <v>1</v>
      </c>
    </row>
    <row r="137" spans="2:8" ht="18.75" x14ac:dyDescent="0.3">
      <c r="B137" s="8" t="s">
        <v>19</v>
      </c>
      <c r="C137" s="8"/>
      <c r="D137" s="28"/>
      <c r="E137" s="28"/>
      <c r="G137" s="28"/>
      <c r="H137" s="28"/>
    </row>
    <row r="138" spans="2:8" ht="8.1" customHeight="1" x14ac:dyDescent="0.25"/>
    <row r="139" spans="2:8" x14ac:dyDescent="0.25">
      <c r="C139" s="9" t="s">
        <v>20</v>
      </c>
      <c r="D139" s="28"/>
      <c r="E139" s="28"/>
      <c r="G139" s="28"/>
      <c r="H139" s="28"/>
    </row>
    <row r="141" spans="2:8" ht="17.25" x14ac:dyDescent="0.4">
      <c r="D141" s="31" t="s">
        <v>71</v>
      </c>
      <c r="E141" s="31" t="s">
        <v>71</v>
      </c>
      <c r="G141" s="31" t="s">
        <v>71</v>
      </c>
      <c r="H141" s="31" t="s">
        <v>71</v>
      </c>
    </row>
    <row r="142" spans="2:8" x14ac:dyDescent="0.25">
      <c r="C142" s="4" t="s">
        <v>96</v>
      </c>
      <c r="D142" s="37">
        <f t="shared" ref="D142:E144" si="47">100%-D30*D125*D$135-D35*D114*D130*D$135</f>
        <v>1</v>
      </c>
      <c r="E142" s="37">
        <f t="shared" si="47"/>
        <v>1</v>
      </c>
      <c r="G142" s="37">
        <f t="shared" ref="G142:H142" si="48">100%-G30*G125*G$135-G35*G114*G130*G$135</f>
        <v>1</v>
      </c>
      <c r="H142" s="37">
        <f t="shared" si="48"/>
        <v>1</v>
      </c>
    </row>
    <row r="143" spans="2:8" x14ac:dyDescent="0.25">
      <c r="C143" s="13" t="s">
        <v>4</v>
      </c>
      <c r="D143" s="37">
        <f t="shared" si="47"/>
        <v>0.13432661211791708</v>
      </c>
      <c r="E143" s="37">
        <f t="shared" si="47"/>
        <v>9.9467029134974239E-2</v>
      </c>
      <c r="G143" s="37">
        <f t="shared" ref="G143:H143" si="49">100%-G31*G126*G$135-G36*G115*G131*G$135</f>
        <v>9.0749188826815708E-2</v>
      </c>
      <c r="H143" s="37">
        <f t="shared" si="49"/>
        <v>6.8399786486999403E-2</v>
      </c>
    </row>
    <row r="144" spans="2:8" x14ac:dyDescent="0.25">
      <c r="C144" s="13" t="s">
        <v>5</v>
      </c>
      <c r="D144" s="37">
        <f t="shared" si="47"/>
        <v>1</v>
      </c>
      <c r="E144" s="37">
        <f t="shared" si="47"/>
        <v>1</v>
      </c>
      <c r="G144" s="37">
        <f t="shared" ref="G144:H144" si="50">100%-G32*G127*G$135-G37*G116*G132*G$135</f>
        <v>1</v>
      </c>
      <c r="H144" s="37">
        <f t="shared" si="50"/>
        <v>1</v>
      </c>
    </row>
    <row r="146" spans="2:8" x14ac:dyDescent="0.25">
      <c r="C146" s="9" t="s">
        <v>21</v>
      </c>
      <c r="D146" s="28"/>
      <c r="E146" s="28"/>
      <c r="G146" s="28"/>
      <c r="H146" s="28"/>
    </row>
    <row r="148" spans="2:8" ht="17.25" x14ac:dyDescent="0.4">
      <c r="D148" s="31" t="s">
        <v>72</v>
      </c>
      <c r="E148" s="31" t="s">
        <v>72</v>
      </c>
      <c r="G148" s="31" t="s">
        <v>72</v>
      </c>
      <c r="H148" s="31" t="s">
        <v>72</v>
      </c>
    </row>
    <row r="149" spans="2:8" x14ac:dyDescent="0.25">
      <c r="C149" s="4" t="s">
        <v>96</v>
      </c>
      <c r="D149" s="38">
        <f t="shared" ref="D149:E151" si="51">D142*D$11*(D23-D18)*(1-D95/(D83*D$67))</f>
        <v>955000000</v>
      </c>
      <c r="E149" s="38">
        <f t="shared" si="51"/>
        <v>955000000</v>
      </c>
      <c r="G149" s="38">
        <f t="shared" ref="G149:H149" si="52">G142*G$11*(G23-G18)*(1-G95/(G83*G$67))</f>
        <v>955000000</v>
      </c>
      <c r="H149" s="38">
        <f t="shared" si="52"/>
        <v>955000000</v>
      </c>
    </row>
    <row r="150" spans="2:8" x14ac:dyDescent="0.25">
      <c r="C150" s="13" t="s">
        <v>4</v>
      </c>
      <c r="D150" s="38">
        <f t="shared" si="51"/>
        <v>5373064.4847166836</v>
      </c>
      <c r="E150" s="38">
        <f t="shared" si="51"/>
        <v>3978681.1653989698</v>
      </c>
      <c r="G150" s="38">
        <f t="shared" ref="G150:H150" si="53">G143*G$11*(G24-G19)*(1-G96/(G84*G$67))</f>
        <v>3629967.5530726286</v>
      </c>
      <c r="H150" s="38">
        <f t="shared" si="53"/>
        <v>2735991.4594799764</v>
      </c>
    </row>
    <row r="151" spans="2:8" x14ac:dyDescent="0.25">
      <c r="C151" s="13" t="s">
        <v>5</v>
      </c>
      <c r="D151" s="38">
        <f t="shared" si="51"/>
        <v>2500000</v>
      </c>
      <c r="E151" s="38">
        <f t="shared" si="51"/>
        <v>3000000</v>
      </c>
      <c r="G151" s="38">
        <f t="shared" ref="G151:H151" si="54">G144*G$11*(G25-G20)*(1-G97/(G85*G$67))</f>
        <v>2500000</v>
      </c>
      <c r="H151" s="38">
        <f t="shared" si="54"/>
        <v>3000000</v>
      </c>
    </row>
    <row r="153" spans="2:8" ht="18.75" x14ac:dyDescent="0.3">
      <c r="B153" s="8" t="s">
        <v>22</v>
      </c>
      <c r="C153" s="8"/>
      <c r="D153" s="28"/>
      <c r="E153" s="28"/>
      <c r="G153" s="28"/>
      <c r="H153" s="28"/>
    </row>
    <row r="154" spans="2:8" ht="8.1" customHeight="1" x14ac:dyDescent="0.25"/>
    <row r="155" spans="2:8" x14ac:dyDescent="0.25">
      <c r="C155" s="9" t="s">
        <v>23</v>
      </c>
      <c r="D155" s="28"/>
      <c r="E155" s="28"/>
      <c r="G155" s="28"/>
      <c r="H155" s="28"/>
    </row>
    <row r="157" spans="2:8" ht="17.25" x14ac:dyDescent="0.4">
      <c r="D157" s="31" t="s">
        <v>73</v>
      </c>
      <c r="E157" s="31" t="s">
        <v>73</v>
      </c>
      <c r="G157" s="31" t="s">
        <v>73</v>
      </c>
      <c r="H157" s="31" t="s">
        <v>73</v>
      </c>
    </row>
    <row r="158" spans="2:8" x14ac:dyDescent="0.25">
      <c r="C158" s="4" t="s">
        <v>96</v>
      </c>
      <c r="D158" s="38">
        <f t="shared" ref="D158:E160" si="55">IF(D$13="N",D$10*(D23-D18),0)</f>
        <v>71625000</v>
      </c>
      <c r="E158" s="38">
        <f t="shared" si="55"/>
        <v>0</v>
      </c>
      <c r="G158" s="38">
        <f>IF(G$13="N",G$10*(G23-G18),0)</f>
        <v>71625000</v>
      </c>
      <c r="H158" s="38">
        <f t="shared" ref="H158" si="56">IF(H$13="N",H$10*(H23-H18),0)</f>
        <v>0</v>
      </c>
    </row>
    <row r="159" spans="2:8" x14ac:dyDescent="0.25">
      <c r="C159" s="13" t="s">
        <v>4</v>
      </c>
      <c r="D159" s="38">
        <f t="shared" si="55"/>
        <v>3000000</v>
      </c>
      <c r="E159" s="38">
        <f t="shared" si="55"/>
        <v>0</v>
      </c>
      <c r="G159" s="38">
        <f t="shared" ref="G159:H159" si="57">IF(G$13="N",G$10*(G24-G19),0)</f>
        <v>3000000</v>
      </c>
      <c r="H159" s="38">
        <f t="shared" si="57"/>
        <v>0</v>
      </c>
    </row>
    <row r="160" spans="2:8" x14ac:dyDescent="0.25">
      <c r="C160" s="13" t="s">
        <v>5</v>
      </c>
      <c r="D160" s="38">
        <f t="shared" si="55"/>
        <v>375000</v>
      </c>
      <c r="E160" s="38">
        <f t="shared" si="55"/>
        <v>0</v>
      </c>
      <c r="G160" s="38">
        <f t="shared" ref="G160:H160" si="58">IF(G$13="N",G$10*(G25-G20),0)</f>
        <v>375000</v>
      </c>
      <c r="H160" s="38">
        <f t="shared" si="58"/>
        <v>0</v>
      </c>
    </row>
    <row r="162" spans="3:8" x14ac:dyDescent="0.25">
      <c r="C162" s="9" t="s">
        <v>24</v>
      </c>
      <c r="D162" s="28"/>
      <c r="E162" s="28"/>
      <c r="G162" s="28"/>
      <c r="H162" s="28"/>
    </row>
    <row r="164" spans="3:8" ht="17.25" x14ac:dyDescent="0.4">
      <c r="D164" s="31" t="s">
        <v>74</v>
      </c>
      <c r="E164" s="31" t="s">
        <v>74</v>
      </c>
      <c r="G164" s="31" t="s">
        <v>74</v>
      </c>
      <c r="H164" s="31" t="s">
        <v>74</v>
      </c>
    </row>
    <row r="165" spans="3:8" x14ac:dyDescent="0.25">
      <c r="C165" s="4" t="s">
        <v>96</v>
      </c>
      <c r="D165" s="38">
        <f t="shared" ref="D165:E167" si="59">D149*D83+D158</f>
        <v>167125000</v>
      </c>
      <c r="E165" s="38">
        <f t="shared" si="59"/>
        <v>95500000</v>
      </c>
      <c r="G165" s="38">
        <f t="shared" ref="G165:H165" si="60">G149*G83+G158</f>
        <v>119375000</v>
      </c>
      <c r="H165" s="38">
        <f t="shared" si="60"/>
        <v>47750000</v>
      </c>
    </row>
    <row r="166" spans="3:8" x14ac:dyDescent="0.25">
      <c r="C166" s="13" t="s">
        <v>4</v>
      </c>
      <c r="D166" s="38">
        <f t="shared" si="59"/>
        <v>45178556.205025963</v>
      </c>
      <c r="E166" s="38">
        <f t="shared" si="59"/>
        <v>26299082.503287192</v>
      </c>
      <c r="G166" s="38">
        <f t="shared" ref="G166:H166" si="61">G150*G84+G159</f>
        <v>31427183.400000021</v>
      </c>
      <c r="H166" s="38">
        <f t="shared" si="61"/>
        <v>18019923.749999993</v>
      </c>
    </row>
    <row r="167" spans="3:8" x14ac:dyDescent="0.25">
      <c r="C167" s="13" t="s">
        <v>5</v>
      </c>
      <c r="D167" s="38">
        <f t="shared" si="59"/>
        <v>31625000</v>
      </c>
      <c r="E167" s="38">
        <f t="shared" si="59"/>
        <v>37500000</v>
      </c>
      <c r="G167" s="38">
        <f t="shared" ref="G167:H167" si="62">G151*G85+G160</f>
        <v>31625000</v>
      </c>
      <c r="H167" s="38">
        <f t="shared" si="62"/>
        <v>37500000</v>
      </c>
    </row>
    <row r="168" spans="3:8" x14ac:dyDescent="0.25">
      <c r="D168" s="39"/>
      <c r="E168" s="39"/>
      <c r="G168" s="39"/>
      <c r="H168" s="39"/>
    </row>
    <row r="169" spans="3:8" x14ac:dyDescent="0.25">
      <c r="C169" s="9" t="s">
        <v>25</v>
      </c>
      <c r="D169" s="28"/>
      <c r="E169" s="28"/>
      <c r="G169" s="28"/>
      <c r="H169" s="28"/>
    </row>
    <row r="170" spans="3:8" x14ac:dyDescent="0.25">
      <c r="C170" s="17"/>
      <c r="D170" s="40"/>
      <c r="E170" s="40"/>
      <c r="G170" s="40"/>
      <c r="H170" s="40"/>
    </row>
    <row r="171" spans="3:8" ht="16.5" x14ac:dyDescent="0.3">
      <c r="C171" s="11" t="s">
        <v>75</v>
      </c>
      <c r="D171" s="38">
        <f>SUM(D165:D167)</f>
        <v>243928556.20502597</v>
      </c>
      <c r="E171" s="38">
        <f>SUM(E165:E167)</f>
        <v>159299082.5032872</v>
      </c>
      <c r="G171" s="38">
        <f>SUM(G165:G167)</f>
        <v>182427183.40000004</v>
      </c>
      <c r="H171" s="38">
        <f>SUM(H165:H167)</f>
        <v>103269923.75</v>
      </c>
    </row>
    <row r="172" spans="3:8" ht="16.5" x14ac:dyDescent="0.3">
      <c r="C172" s="13" t="s">
        <v>76</v>
      </c>
      <c r="D172" s="38">
        <f>D9-D171</f>
        <v>174821443.79497409</v>
      </c>
      <c r="E172" s="38">
        <f>E9-E171</f>
        <v>140700917.4967128</v>
      </c>
      <c r="G172" s="38">
        <f>G9-G171</f>
        <v>236322816.60000002</v>
      </c>
      <c r="H172" s="38">
        <f>H9-H171</f>
        <v>196730076.25</v>
      </c>
    </row>
    <row r="173" spans="3:8" x14ac:dyDescent="0.25">
      <c r="D173" s="39"/>
      <c r="E173" s="39"/>
      <c r="G173" s="39"/>
      <c r="H173" s="39"/>
    </row>
    <row r="174" spans="3:8" x14ac:dyDescent="0.25">
      <c r="C174" s="9" t="s">
        <v>155</v>
      </c>
      <c r="D174" s="28"/>
      <c r="E174" s="28"/>
      <c r="G174" s="28"/>
      <c r="H174" s="28"/>
    </row>
    <row r="175" spans="3:8" x14ac:dyDescent="0.25">
      <c r="C175" s="17"/>
      <c r="D175" s="40"/>
      <c r="E175" s="40"/>
      <c r="G175" s="39"/>
      <c r="H175" s="39"/>
    </row>
    <row r="176" spans="3:8" ht="16.5" x14ac:dyDescent="0.25">
      <c r="C176" s="137" t="s">
        <v>154</v>
      </c>
      <c r="D176" s="67"/>
      <c r="E176" s="58"/>
      <c r="G176" s="58">
        <f>G172/D172-1</f>
        <v>0.35179536028287872</v>
      </c>
      <c r="H176" s="58">
        <f>H172/E172-1</f>
        <v>0.39821459412015714</v>
      </c>
    </row>
    <row r="177" spans="3:8" x14ac:dyDescent="0.25">
      <c r="D177" s="39"/>
      <c r="E177" s="39"/>
      <c r="G177" s="39"/>
      <c r="H177" s="39"/>
    </row>
    <row r="178" spans="3:8" s="117" customFormat="1" x14ac:dyDescent="0.25">
      <c r="D178" s="138"/>
      <c r="E178" s="138"/>
      <c r="G178" s="138"/>
      <c r="H178" s="138"/>
    </row>
    <row r="179" spans="3:8" x14ac:dyDescent="0.25">
      <c r="C179" s="41"/>
      <c r="D179" s="42"/>
      <c r="E179" s="42"/>
      <c r="G179" s="42"/>
      <c r="H179" s="42"/>
    </row>
    <row r="180" spans="3:8" x14ac:dyDescent="0.25">
      <c r="C180" s="41"/>
      <c r="D180" s="42"/>
      <c r="E180" s="42"/>
      <c r="G180" s="42"/>
      <c r="H180" s="42"/>
    </row>
  </sheetData>
  <mergeCells count="6">
    <mergeCell ref="B8:E8"/>
    <mergeCell ref="D6:E6"/>
    <mergeCell ref="B4:C4"/>
    <mergeCell ref="G6:H6"/>
    <mergeCell ref="D3:E3"/>
    <mergeCell ref="G3:H3"/>
  </mergeCells>
  <pageMargins left="0.25" right="0.25" top="0.75" bottom="0.75" header="0.3" footer="0.3"/>
  <pageSetup scale="66" orientation="landscape" r:id="rId1"/>
  <headerFooter>
    <oddFooter>&amp;L&amp;"-,Italic"The information provided in the 2021 Enterprise Regulatory Capital CRT spreadsheet is for illustrative and 
explanatory purposes only and does not replace the regulation published at 12 CFR 1240.   &amp;R&amp;P of &amp;N</oddFooter>
  </headerFooter>
  <rowBreaks count="6" manualBreakCount="6">
    <brk id="25" max="16383" man="1"/>
    <brk id="49" max="16383" man="1"/>
    <brk id="67" max="16383" man="1"/>
    <brk id="97" max="16383" man="1"/>
    <brk id="122" max="16383" man="1"/>
    <brk id="15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H179"/>
  <sheetViews>
    <sheetView showGridLines="0" zoomScaleNormal="100" zoomScaleSheetLayoutView="115" workbookViewId="0">
      <selection activeCell="G6" sqref="G6:H6"/>
    </sheetView>
  </sheetViews>
  <sheetFormatPr defaultColWidth="8.7109375" defaultRowHeight="15" x14ac:dyDescent="0.25"/>
  <cols>
    <col min="1" max="1" width="8.7109375" style="4"/>
    <col min="2" max="2" width="2.5703125" style="4" customWidth="1"/>
    <col min="3" max="3" width="24.5703125" style="4" customWidth="1"/>
    <col min="4" max="5" width="19.85546875" style="4" customWidth="1"/>
    <col min="6" max="6" width="1.140625" style="4" customWidth="1"/>
    <col min="7" max="8" width="19.85546875" style="4" customWidth="1"/>
    <col min="9" max="16384" width="8.7109375" style="4"/>
  </cols>
  <sheetData>
    <row r="1" spans="2:8" ht="42" customHeight="1" x14ac:dyDescent="0.3">
      <c r="B1" s="150"/>
      <c r="C1" s="6"/>
    </row>
    <row r="2" spans="2:8" ht="42" customHeight="1" x14ac:dyDescent="0.3">
      <c r="B2" s="150"/>
      <c r="C2" s="6"/>
    </row>
    <row r="3" spans="2:8" ht="24.75" x14ac:dyDescent="0.6">
      <c r="B3" s="150"/>
      <c r="C3" s="6"/>
      <c r="D3" s="180" t="s">
        <v>151</v>
      </c>
      <c r="E3" s="180"/>
      <c r="G3" s="180" t="s">
        <v>149</v>
      </c>
      <c r="H3" s="180"/>
    </row>
    <row r="4" spans="2:8" ht="36" customHeight="1" x14ac:dyDescent="0.55000000000000004">
      <c r="B4" s="150"/>
      <c r="C4" s="6"/>
      <c r="D4" s="149" t="s">
        <v>26</v>
      </c>
      <c r="E4" s="149" t="s">
        <v>141</v>
      </c>
      <c r="G4" s="149" t="s">
        <v>26</v>
      </c>
      <c r="H4" s="149" t="s">
        <v>141</v>
      </c>
    </row>
    <row r="5" spans="2:8" ht="12" customHeight="1" x14ac:dyDescent="0.3">
      <c r="C5" s="6"/>
      <c r="D5" s="100"/>
      <c r="E5" s="100"/>
      <c r="G5" s="100"/>
      <c r="H5" s="100"/>
    </row>
    <row r="6" spans="2:8" s="110" customFormat="1" ht="19.5" customHeight="1" x14ac:dyDescent="0.6">
      <c r="B6" s="96"/>
      <c r="C6" s="96"/>
      <c r="D6" s="177" t="s">
        <v>139</v>
      </c>
      <c r="E6" s="177"/>
      <c r="F6" s="97"/>
      <c r="G6" s="177" t="s">
        <v>139</v>
      </c>
      <c r="H6" s="177"/>
    </row>
    <row r="7" spans="2:8" s="110" customFormat="1" ht="10.5" customHeight="1" x14ac:dyDescent="0.6">
      <c r="B7" s="108"/>
      <c r="C7" s="108"/>
      <c r="D7" s="109"/>
      <c r="E7" s="109"/>
      <c r="G7" s="109"/>
      <c r="H7" s="109"/>
    </row>
    <row r="8" spans="2:8" s="117" customFormat="1" ht="42.95" customHeight="1" x14ac:dyDescent="0.3">
      <c r="B8" s="181" t="s">
        <v>0</v>
      </c>
      <c r="C8" s="181"/>
      <c r="D8" s="181"/>
      <c r="E8" s="181"/>
      <c r="F8" s="181"/>
      <c r="G8" s="181"/>
      <c r="H8" s="181"/>
    </row>
    <row r="9" spans="2:8" ht="16.5" x14ac:dyDescent="0.3">
      <c r="C9" s="4" t="s">
        <v>37</v>
      </c>
      <c r="D9" s="101">
        <v>418750000.00000006</v>
      </c>
      <c r="E9" s="101">
        <v>300000000</v>
      </c>
      <c r="G9" s="101">
        <v>418750000.00000006</v>
      </c>
      <c r="H9" s="101">
        <v>300000000</v>
      </c>
    </row>
    <row r="10" spans="2:8" ht="16.5" x14ac:dyDescent="0.3">
      <c r="C10" s="13" t="s">
        <v>38</v>
      </c>
      <c r="D10" s="102">
        <v>75000000</v>
      </c>
      <c r="E10" s="102">
        <v>0</v>
      </c>
      <c r="G10" s="102">
        <v>75000000</v>
      </c>
      <c r="H10" s="102">
        <v>0</v>
      </c>
    </row>
    <row r="11" spans="2:8" ht="16.5" x14ac:dyDescent="0.3">
      <c r="C11" s="13" t="s">
        <v>39</v>
      </c>
      <c r="D11" s="102">
        <v>1000000000</v>
      </c>
      <c r="E11" s="102">
        <v>1000000000</v>
      </c>
      <c r="G11" s="102">
        <v>1000000000</v>
      </c>
      <c r="H11" s="102">
        <v>1000000000</v>
      </c>
    </row>
    <row r="12" spans="2:8" ht="16.5" x14ac:dyDescent="0.3">
      <c r="C12" s="13" t="s">
        <v>40</v>
      </c>
      <c r="D12" s="102">
        <v>2500000</v>
      </c>
      <c r="E12" s="102">
        <v>2000000</v>
      </c>
      <c r="G12" s="102">
        <v>2500000</v>
      </c>
      <c r="H12" s="102">
        <v>2000000</v>
      </c>
    </row>
    <row r="13" spans="2:8" ht="16.5" x14ac:dyDescent="0.3">
      <c r="C13" s="13" t="s">
        <v>41</v>
      </c>
      <c r="D13" s="103" t="s">
        <v>1</v>
      </c>
      <c r="E13" s="103" t="s">
        <v>1</v>
      </c>
      <c r="G13" s="103" t="s">
        <v>1</v>
      </c>
      <c r="H13" s="103" t="s">
        <v>1</v>
      </c>
    </row>
    <row r="15" spans="2:8" ht="18.75" x14ac:dyDescent="0.3">
      <c r="B15" s="8" t="s">
        <v>2</v>
      </c>
      <c r="C15" s="8"/>
      <c r="D15" s="9"/>
      <c r="E15" s="9"/>
      <c r="G15" s="9"/>
      <c r="H15" s="9"/>
    </row>
    <row r="16" spans="2:8" ht="15.95" customHeight="1" x14ac:dyDescent="0.3">
      <c r="B16" s="14"/>
      <c r="C16" s="14"/>
      <c r="D16" s="15"/>
      <c r="E16" s="15"/>
      <c r="G16" s="15"/>
      <c r="H16" s="15"/>
    </row>
    <row r="17" spans="2:8" ht="17.25" x14ac:dyDescent="0.25">
      <c r="D17" s="16" t="s">
        <v>94</v>
      </c>
      <c r="E17" s="16" t="s">
        <v>94</v>
      </c>
      <c r="G17" s="16" t="s">
        <v>94</v>
      </c>
      <c r="H17" s="16" t="s">
        <v>94</v>
      </c>
    </row>
    <row r="18" spans="2:8" x14ac:dyDescent="0.25">
      <c r="C18" s="4" t="s">
        <v>96</v>
      </c>
      <c r="D18" s="104">
        <v>4.4999999999999998E-2</v>
      </c>
      <c r="E18" s="104">
        <v>3.85E-2</v>
      </c>
      <c r="G18" s="104">
        <v>4.4999999999999998E-2</v>
      </c>
      <c r="H18" s="104">
        <v>3.85E-2</v>
      </c>
    </row>
    <row r="19" spans="2:8" x14ac:dyDescent="0.25">
      <c r="C19" s="13" t="s">
        <v>4</v>
      </c>
      <c r="D19" s="105">
        <v>5.0000000000000001E-3</v>
      </c>
      <c r="E19" s="105">
        <v>3.5000000000000001E-3</v>
      </c>
      <c r="G19" s="105">
        <v>5.0000000000000001E-3</v>
      </c>
      <c r="H19" s="105">
        <v>3.5000000000000001E-3</v>
      </c>
    </row>
    <row r="20" spans="2:8" x14ac:dyDescent="0.25">
      <c r="C20" s="13" t="s">
        <v>5</v>
      </c>
      <c r="D20" s="105">
        <v>0</v>
      </c>
      <c r="E20" s="105">
        <v>0</v>
      </c>
      <c r="G20" s="105">
        <v>0</v>
      </c>
      <c r="H20" s="105">
        <v>0</v>
      </c>
    </row>
    <row r="21" spans="2:8" x14ac:dyDescent="0.25">
      <c r="C21" s="17"/>
      <c r="D21" s="17"/>
      <c r="E21" s="17"/>
      <c r="G21" s="17"/>
      <c r="H21" s="17"/>
    </row>
    <row r="22" spans="2:8" ht="17.25" x14ac:dyDescent="0.25">
      <c r="D22" s="16" t="s">
        <v>95</v>
      </c>
      <c r="E22" s="16" t="s">
        <v>95</v>
      </c>
      <c r="G22" s="16" t="s">
        <v>95</v>
      </c>
      <c r="H22" s="16" t="s">
        <v>95</v>
      </c>
    </row>
    <row r="23" spans="2:8" x14ac:dyDescent="0.25">
      <c r="C23" s="4" t="s">
        <v>96</v>
      </c>
      <c r="D23" s="104">
        <v>1</v>
      </c>
      <c r="E23" s="104">
        <v>1</v>
      </c>
      <c r="G23" s="104">
        <v>1</v>
      </c>
      <c r="H23" s="104">
        <v>1</v>
      </c>
    </row>
    <row r="24" spans="2:8" x14ac:dyDescent="0.25">
      <c r="C24" s="13" t="s">
        <v>4</v>
      </c>
      <c r="D24" s="105">
        <v>4.4999999999999998E-2</v>
      </c>
      <c r="E24" s="105">
        <v>3.85E-2</v>
      </c>
      <c r="G24" s="105">
        <v>4.4999999999999998E-2</v>
      </c>
      <c r="H24" s="105">
        <v>3.85E-2</v>
      </c>
    </row>
    <row r="25" spans="2:8" x14ac:dyDescent="0.25">
      <c r="C25" s="13" t="s">
        <v>5</v>
      </c>
      <c r="D25" s="105">
        <v>5.0000000000000001E-3</v>
      </c>
      <c r="E25" s="105">
        <v>3.5000000000000001E-3</v>
      </c>
      <c r="G25" s="105">
        <v>5.0000000000000001E-3</v>
      </c>
      <c r="H25" s="105">
        <v>3.5000000000000001E-3</v>
      </c>
    </row>
    <row r="26" spans="2:8" x14ac:dyDescent="0.25">
      <c r="C26" s="17"/>
      <c r="D26" s="17"/>
      <c r="E26" s="17"/>
      <c r="G26" s="17"/>
      <c r="H26" s="17"/>
    </row>
    <row r="27" spans="2:8" ht="20.25" x14ac:dyDescent="0.35">
      <c r="B27" s="8" t="s">
        <v>42</v>
      </c>
      <c r="C27" s="8"/>
      <c r="D27" s="9"/>
      <c r="E27" s="9"/>
      <c r="G27" s="9"/>
      <c r="H27" s="9"/>
    </row>
    <row r="28" spans="2:8" ht="15.95" customHeight="1" x14ac:dyDescent="0.3">
      <c r="B28" s="14"/>
      <c r="C28" s="14"/>
      <c r="D28" s="15"/>
      <c r="E28" s="15"/>
      <c r="G28" s="15"/>
      <c r="H28" s="15"/>
    </row>
    <row r="29" spans="2:8" ht="15.95" customHeight="1" x14ac:dyDescent="0.25">
      <c r="D29" s="16" t="s">
        <v>43</v>
      </c>
      <c r="E29" s="16" t="s">
        <v>43</v>
      </c>
      <c r="G29" s="16" t="s">
        <v>43</v>
      </c>
      <c r="H29" s="16" t="s">
        <v>43</v>
      </c>
    </row>
    <row r="30" spans="2:8" x14ac:dyDescent="0.25">
      <c r="C30" s="4" t="s">
        <v>96</v>
      </c>
      <c r="D30" s="104">
        <v>0</v>
      </c>
      <c r="E30" s="104">
        <v>0</v>
      </c>
      <c r="G30" s="104">
        <v>0</v>
      </c>
      <c r="H30" s="104">
        <v>0</v>
      </c>
    </row>
    <row r="31" spans="2:8" x14ac:dyDescent="0.25">
      <c r="C31" s="13" t="s">
        <v>4</v>
      </c>
      <c r="D31" s="105">
        <v>0.95</v>
      </c>
      <c r="E31" s="105">
        <v>0</v>
      </c>
      <c r="G31" s="105">
        <v>0.95</v>
      </c>
      <c r="H31" s="105">
        <v>0</v>
      </c>
    </row>
    <row r="32" spans="2:8" x14ac:dyDescent="0.25">
      <c r="C32" s="13" t="s">
        <v>5</v>
      </c>
      <c r="D32" s="105">
        <v>0</v>
      </c>
      <c r="E32" s="105">
        <v>0</v>
      </c>
      <c r="G32" s="105">
        <v>0</v>
      </c>
      <c r="H32" s="105">
        <v>0</v>
      </c>
    </row>
    <row r="33" spans="2:8" x14ac:dyDescent="0.25">
      <c r="C33" s="18"/>
      <c r="D33" s="19"/>
      <c r="E33" s="19"/>
      <c r="G33" s="19"/>
      <c r="H33" s="19"/>
    </row>
    <row r="34" spans="2:8" ht="17.25" x14ac:dyDescent="0.25">
      <c r="D34" s="16" t="s">
        <v>44</v>
      </c>
      <c r="E34" s="16" t="s">
        <v>44</v>
      </c>
      <c r="G34" s="16" t="s">
        <v>44</v>
      </c>
      <c r="H34" s="16" t="s">
        <v>44</v>
      </c>
    </row>
    <row r="35" spans="2:8" x14ac:dyDescent="0.25">
      <c r="C35" s="4" t="s">
        <v>3</v>
      </c>
      <c r="D35" s="104">
        <v>0</v>
      </c>
      <c r="E35" s="104">
        <v>0</v>
      </c>
      <c r="G35" s="104">
        <v>0</v>
      </c>
      <c r="H35" s="104">
        <v>0</v>
      </c>
    </row>
    <row r="36" spans="2:8" x14ac:dyDescent="0.25">
      <c r="C36" s="13" t="s">
        <v>4</v>
      </c>
      <c r="D36" s="105">
        <v>0</v>
      </c>
      <c r="E36" s="105">
        <v>1</v>
      </c>
      <c r="G36" s="105">
        <v>0</v>
      </c>
      <c r="H36" s="105">
        <v>1</v>
      </c>
    </row>
    <row r="37" spans="2:8" x14ac:dyDescent="0.25">
      <c r="C37" s="13" t="s">
        <v>5</v>
      </c>
      <c r="D37" s="105">
        <v>0</v>
      </c>
      <c r="E37" s="105">
        <v>0</v>
      </c>
      <c r="G37" s="105">
        <v>0</v>
      </c>
      <c r="H37" s="105">
        <v>0</v>
      </c>
    </row>
    <row r="38" spans="2:8" x14ac:dyDescent="0.25">
      <c r="D38" s="20"/>
      <c r="E38" s="20"/>
      <c r="G38" s="20"/>
      <c r="H38" s="20"/>
    </row>
    <row r="39" spans="2:8" ht="20.25" x14ac:dyDescent="0.35">
      <c r="B39" s="8" t="s">
        <v>45</v>
      </c>
      <c r="C39" s="8"/>
      <c r="D39" s="9"/>
      <c r="E39" s="9"/>
      <c r="G39" s="9"/>
      <c r="H39" s="9"/>
    </row>
    <row r="40" spans="2:8" ht="18.75" x14ac:dyDescent="0.3">
      <c r="C40" s="21"/>
      <c r="D40" s="17"/>
      <c r="E40" s="17"/>
      <c r="G40" s="17"/>
      <c r="H40" s="17"/>
    </row>
    <row r="41" spans="2:8" ht="17.25" x14ac:dyDescent="0.25">
      <c r="D41" s="16" t="s">
        <v>46</v>
      </c>
      <c r="E41" s="16" t="s">
        <v>46</v>
      </c>
      <c r="G41" s="16" t="s">
        <v>46</v>
      </c>
      <c r="H41" s="16" t="s">
        <v>46</v>
      </c>
    </row>
    <row r="42" spans="2:8" x14ac:dyDescent="0.25">
      <c r="C42" s="4" t="s">
        <v>96</v>
      </c>
      <c r="D42" s="104">
        <v>0</v>
      </c>
      <c r="E42" s="104">
        <v>0</v>
      </c>
      <c r="G42" s="104">
        <v>0</v>
      </c>
      <c r="H42" s="104">
        <v>0</v>
      </c>
    </row>
    <row r="43" spans="2:8" x14ac:dyDescent="0.25">
      <c r="C43" s="13" t="s">
        <v>4</v>
      </c>
      <c r="D43" s="105">
        <v>0</v>
      </c>
      <c r="E43" s="105">
        <v>0.25</v>
      </c>
      <c r="G43" s="105">
        <v>0</v>
      </c>
      <c r="H43" s="105">
        <v>0.25</v>
      </c>
    </row>
    <row r="44" spans="2:8" x14ac:dyDescent="0.25">
      <c r="C44" s="13" t="s">
        <v>5</v>
      </c>
      <c r="D44" s="105">
        <v>0</v>
      </c>
      <c r="E44" s="105">
        <v>0</v>
      </c>
      <c r="G44" s="105">
        <v>0</v>
      </c>
      <c r="H44" s="105">
        <v>0</v>
      </c>
    </row>
    <row r="45" spans="2:8" x14ac:dyDescent="0.25">
      <c r="D45" s="22"/>
      <c r="E45" s="22"/>
      <c r="G45" s="22"/>
      <c r="H45" s="22"/>
    </row>
    <row r="46" spans="2:8" ht="17.25" x14ac:dyDescent="0.25">
      <c r="D46" s="16" t="s">
        <v>47</v>
      </c>
      <c r="E46" s="16" t="s">
        <v>47</v>
      </c>
      <c r="G46" s="16" t="s">
        <v>47</v>
      </c>
      <c r="H46" s="16" t="s">
        <v>47</v>
      </c>
    </row>
    <row r="47" spans="2:8" x14ac:dyDescent="0.25">
      <c r="C47" s="4" t="s">
        <v>96</v>
      </c>
      <c r="D47" s="104">
        <v>0</v>
      </c>
      <c r="E47" s="104">
        <v>0</v>
      </c>
      <c r="G47" s="104">
        <v>0</v>
      </c>
      <c r="H47" s="104">
        <v>0</v>
      </c>
    </row>
    <row r="48" spans="2:8" x14ac:dyDescent="0.25">
      <c r="C48" s="13" t="s">
        <v>4</v>
      </c>
      <c r="D48" s="105">
        <v>0</v>
      </c>
      <c r="E48" s="105">
        <v>7.4999999999999997E-2</v>
      </c>
      <c r="G48" s="105">
        <v>0</v>
      </c>
      <c r="H48" s="105">
        <v>7.4999999999999997E-2</v>
      </c>
    </row>
    <row r="49" spans="1:8" x14ac:dyDescent="0.25">
      <c r="C49" s="13" t="s">
        <v>5</v>
      </c>
      <c r="D49" s="105">
        <v>0</v>
      </c>
      <c r="E49" s="105">
        <v>0</v>
      </c>
      <c r="G49" s="105">
        <v>0</v>
      </c>
      <c r="H49" s="105">
        <v>0</v>
      </c>
    </row>
    <row r="50" spans="1:8" x14ac:dyDescent="0.25">
      <c r="D50" s="20"/>
      <c r="E50" s="20"/>
      <c r="G50" s="20"/>
      <c r="H50" s="20"/>
    </row>
    <row r="51" spans="1:8" ht="18.75" x14ac:dyDescent="0.3">
      <c r="B51" s="8" t="s">
        <v>6</v>
      </c>
      <c r="C51" s="8"/>
      <c r="D51" s="9"/>
      <c r="E51" s="9"/>
      <c r="G51" s="9"/>
      <c r="H51" s="9"/>
    </row>
    <row r="52" spans="1:8" x14ac:dyDescent="0.25">
      <c r="C52" s="4" t="s">
        <v>7</v>
      </c>
      <c r="D52" s="4">
        <v>240</v>
      </c>
      <c r="E52" s="4">
        <v>0</v>
      </c>
      <c r="G52" s="4">
        <v>240</v>
      </c>
      <c r="H52" s="4">
        <v>0</v>
      </c>
    </row>
    <row r="53" spans="1:8" x14ac:dyDescent="0.25">
      <c r="C53" s="13" t="s">
        <v>8</v>
      </c>
      <c r="D53" s="13">
        <v>0</v>
      </c>
      <c r="E53" s="13">
        <v>150</v>
      </c>
      <c r="G53" s="13">
        <v>0</v>
      </c>
      <c r="H53" s="13">
        <v>150</v>
      </c>
    </row>
    <row r="54" spans="1:8" x14ac:dyDescent="0.25">
      <c r="C54" s="13" t="s">
        <v>9</v>
      </c>
      <c r="D54" s="13">
        <v>0</v>
      </c>
      <c r="E54" s="13">
        <v>0</v>
      </c>
      <c r="G54" s="13">
        <v>0</v>
      </c>
      <c r="H54" s="13">
        <v>0</v>
      </c>
    </row>
    <row r="55" spans="1:8" x14ac:dyDescent="0.25">
      <c r="C55" s="13" t="s">
        <v>10</v>
      </c>
      <c r="D55" s="13">
        <v>0</v>
      </c>
      <c r="E55" s="13">
        <v>0</v>
      </c>
      <c r="G55" s="13">
        <v>0</v>
      </c>
      <c r="H55" s="13">
        <v>0</v>
      </c>
    </row>
    <row r="56" spans="1:8" ht="16.5" x14ac:dyDescent="0.3">
      <c r="C56" s="13" t="s">
        <v>48</v>
      </c>
      <c r="D56" s="116">
        <v>0.99</v>
      </c>
      <c r="E56" s="116">
        <v>0</v>
      </c>
      <c r="G56" s="116">
        <v>0.99</v>
      </c>
      <c r="H56" s="116">
        <v>0</v>
      </c>
    </row>
    <row r="57" spans="1:8" ht="16.5" x14ac:dyDescent="0.3">
      <c r="C57" s="13" t="s">
        <v>49</v>
      </c>
      <c r="D57" s="116">
        <v>0</v>
      </c>
      <c r="E57" s="116">
        <v>0</v>
      </c>
      <c r="G57" s="116">
        <v>0</v>
      </c>
      <c r="H57" s="116">
        <v>0</v>
      </c>
    </row>
    <row r="58" spans="1:8" ht="16.5" x14ac:dyDescent="0.3">
      <c r="C58" s="13" t="s">
        <v>50</v>
      </c>
      <c r="D58" s="116">
        <v>0</v>
      </c>
      <c r="E58" s="116">
        <v>0.93500000000000005</v>
      </c>
      <c r="G58" s="116">
        <v>0</v>
      </c>
      <c r="H58" s="116">
        <v>0.93500000000000005</v>
      </c>
    </row>
    <row r="59" spans="1:8" ht="16.5" x14ac:dyDescent="0.3">
      <c r="C59" s="13" t="s">
        <v>51</v>
      </c>
      <c r="D59" s="116">
        <v>0</v>
      </c>
      <c r="E59" s="116">
        <v>0</v>
      </c>
      <c r="G59" s="116">
        <v>0</v>
      </c>
      <c r="H59" s="116">
        <v>0</v>
      </c>
    </row>
    <row r="60" spans="1:8" x14ac:dyDescent="0.25">
      <c r="D60" s="23"/>
      <c r="E60" s="23"/>
      <c r="G60" s="23"/>
      <c r="H60" s="23"/>
    </row>
    <row r="61" spans="1:8" s="110" customFormat="1" ht="24.75" x14ac:dyDescent="0.6">
      <c r="A61" s="146" t="s">
        <v>11</v>
      </c>
      <c r="B61" s="146"/>
      <c r="C61" s="146"/>
      <c r="D61" s="147"/>
      <c r="E61" s="147"/>
      <c r="F61" s="146"/>
      <c r="G61" s="147"/>
      <c r="H61" s="147"/>
    </row>
    <row r="63" spans="1:8" ht="20.25" x14ac:dyDescent="0.35">
      <c r="B63" s="8" t="s">
        <v>52</v>
      </c>
      <c r="C63" s="8"/>
      <c r="D63" s="9"/>
      <c r="E63" s="9"/>
      <c r="G63" s="9"/>
      <c r="H63" s="9"/>
    </row>
    <row r="64" spans="1:8" ht="16.5" x14ac:dyDescent="0.3">
      <c r="C64" s="24" t="s">
        <v>53</v>
      </c>
      <c r="D64" s="22">
        <f>IF(D13="Y",D9*D67/D11,(D9-D10)*D67/D11)</f>
        <v>2.7500000000000004E-2</v>
      </c>
      <c r="E64" s="22">
        <f>IF(E13="Y",E9*E67/E11,(E9-E10)*E67/E11)</f>
        <v>2.4E-2</v>
      </c>
      <c r="G64" s="22">
        <f>IF(G13="Y",G9*G67/G11,(G9-G10)*G67/G11)</f>
        <v>2.7500000000000004E-2</v>
      </c>
      <c r="H64" s="22">
        <f>IF(H13="Y",H9*H67/H11,(H9-H10)*H67/H11)</f>
        <v>2.4E-2</v>
      </c>
    </row>
    <row r="65" spans="2:8" ht="16.5" x14ac:dyDescent="0.3">
      <c r="C65" s="25" t="s">
        <v>54</v>
      </c>
      <c r="D65" s="26">
        <f>D12/D11</f>
        <v>2.5000000000000001E-3</v>
      </c>
      <c r="E65" s="26">
        <f>E12/E11</f>
        <v>2E-3</v>
      </c>
      <c r="G65" s="26">
        <f>G12/G11</f>
        <v>2.5000000000000001E-3</v>
      </c>
      <c r="H65" s="26">
        <f>H12/H11</f>
        <v>2E-3</v>
      </c>
    </row>
    <row r="66" spans="2:8" x14ac:dyDescent="0.25">
      <c r="C66" s="25" t="s">
        <v>12</v>
      </c>
      <c r="D66" s="27">
        <v>0.1</v>
      </c>
      <c r="E66" s="27">
        <v>0.1</v>
      </c>
      <c r="G66" s="27">
        <v>0.05</v>
      </c>
      <c r="H66" s="27">
        <v>0.05</v>
      </c>
    </row>
    <row r="67" spans="2:8" ht="30" x14ac:dyDescent="0.25">
      <c r="C67" s="25" t="s">
        <v>13</v>
      </c>
      <c r="D67" s="26">
        <v>0.08</v>
      </c>
      <c r="E67" s="26">
        <v>0.08</v>
      </c>
      <c r="G67" s="26">
        <v>0.08</v>
      </c>
      <c r="H67" s="26">
        <v>0.08</v>
      </c>
    </row>
    <row r="69" spans="2:8" ht="18.75" x14ac:dyDescent="0.3">
      <c r="B69" s="8" t="s">
        <v>14</v>
      </c>
      <c r="C69" s="8"/>
      <c r="D69" s="28"/>
      <c r="E69" s="28"/>
      <c r="G69" s="28"/>
      <c r="H69" s="28"/>
    </row>
    <row r="70" spans="2:8" ht="34.5" x14ac:dyDescent="0.4">
      <c r="D70" s="29" t="s">
        <v>55</v>
      </c>
      <c r="E70" s="29" t="s">
        <v>55</v>
      </c>
      <c r="G70" s="29" t="s">
        <v>55</v>
      </c>
      <c r="H70" s="29" t="s">
        <v>55</v>
      </c>
    </row>
    <row r="71" spans="2:8" x14ac:dyDescent="0.25">
      <c r="C71" s="4" t="s">
        <v>96</v>
      </c>
      <c r="D71" s="30">
        <f t="shared" ref="D71:E73" si="0">IF(SUM(D$64:D$65)&gt;=D23,1/D$67,0%)</f>
        <v>0</v>
      </c>
      <c r="E71" s="30">
        <f t="shared" si="0"/>
        <v>0</v>
      </c>
      <c r="G71" s="30">
        <f t="shared" ref="G71:H71" si="1">IF(SUM(G$64:G$65)&gt;=G23,1/G$67,0%)</f>
        <v>0</v>
      </c>
      <c r="H71" s="30">
        <f t="shared" si="1"/>
        <v>0</v>
      </c>
    </row>
    <row r="72" spans="2:8" x14ac:dyDescent="0.25">
      <c r="C72" s="13" t="s">
        <v>4</v>
      </c>
      <c r="D72" s="30">
        <f t="shared" si="0"/>
        <v>0</v>
      </c>
      <c r="E72" s="30">
        <f t="shared" si="0"/>
        <v>0</v>
      </c>
      <c r="G72" s="30">
        <f t="shared" ref="G72:H72" si="2">IF(SUM(G$64:G$65)&gt;=G24,1/G$67,0%)</f>
        <v>0</v>
      </c>
      <c r="H72" s="30">
        <f t="shared" si="2"/>
        <v>0</v>
      </c>
    </row>
    <row r="73" spans="2:8" x14ac:dyDescent="0.25">
      <c r="C73" s="13" t="s">
        <v>5</v>
      </c>
      <c r="D73" s="30">
        <f t="shared" si="0"/>
        <v>12.5</v>
      </c>
      <c r="E73" s="30">
        <f t="shared" si="0"/>
        <v>12.5</v>
      </c>
      <c r="G73" s="30">
        <f t="shared" ref="G73:H73" si="3">IF(SUM(G$64:G$65)&gt;=G25,1/G$67,0%)</f>
        <v>12.5</v>
      </c>
      <c r="H73" s="30">
        <f t="shared" si="3"/>
        <v>12.5</v>
      </c>
    </row>
    <row r="74" spans="2:8" ht="34.5" x14ac:dyDescent="0.4">
      <c r="D74" s="29" t="s">
        <v>56</v>
      </c>
      <c r="E74" s="29" t="s">
        <v>56</v>
      </c>
      <c r="G74" s="29" t="s">
        <v>56</v>
      </c>
      <c r="H74" s="29" t="s">
        <v>56</v>
      </c>
    </row>
    <row r="75" spans="2:8" x14ac:dyDescent="0.25">
      <c r="C75" s="4" t="s">
        <v>96</v>
      </c>
      <c r="D75" s="30">
        <f t="shared" ref="D75:E77" si="4">IF(SUM(D$64:D$65)&lt;=D18,D$66,0%)</f>
        <v>0.1</v>
      </c>
      <c r="E75" s="30">
        <f t="shared" si="4"/>
        <v>0.1</v>
      </c>
      <c r="G75" s="30">
        <f t="shared" ref="G75:H75" si="5">IF(SUM(G$64:G$65)&lt;=G18,G$66,0%)</f>
        <v>0.05</v>
      </c>
      <c r="H75" s="30">
        <f t="shared" si="5"/>
        <v>0.05</v>
      </c>
    </row>
    <row r="76" spans="2:8" x14ac:dyDescent="0.25">
      <c r="C76" s="13" t="s">
        <v>4</v>
      </c>
      <c r="D76" s="30">
        <f t="shared" si="4"/>
        <v>0</v>
      </c>
      <c r="E76" s="30">
        <f t="shared" si="4"/>
        <v>0</v>
      </c>
      <c r="G76" s="30">
        <f t="shared" ref="G76:H76" si="6">IF(SUM(G$64:G$65)&lt;=G19,G$66,0%)</f>
        <v>0</v>
      </c>
      <c r="H76" s="30">
        <f t="shared" si="6"/>
        <v>0</v>
      </c>
    </row>
    <row r="77" spans="2:8" x14ac:dyDescent="0.25">
      <c r="C77" s="13" t="s">
        <v>5</v>
      </c>
      <c r="D77" s="30">
        <f t="shared" si="4"/>
        <v>0</v>
      </c>
      <c r="E77" s="30">
        <f t="shared" si="4"/>
        <v>0</v>
      </c>
      <c r="G77" s="30">
        <f t="shared" ref="G77:H77" si="7">IF(SUM(G$64:G$65)&lt;=G20,G$66,0%)</f>
        <v>0</v>
      </c>
      <c r="H77" s="30">
        <f t="shared" si="7"/>
        <v>0</v>
      </c>
    </row>
    <row r="78" spans="2:8" ht="34.5" x14ac:dyDescent="0.4">
      <c r="D78" s="29" t="s">
        <v>57</v>
      </c>
      <c r="E78" s="29" t="s">
        <v>57</v>
      </c>
      <c r="G78" s="29" t="s">
        <v>57</v>
      </c>
      <c r="H78" s="29" t="s">
        <v>57</v>
      </c>
    </row>
    <row r="79" spans="2:8" x14ac:dyDescent="0.25">
      <c r="C79" s="4" t="s">
        <v>96</v>
      </c>
      <c r="D79" s="30">
        <f>IF(AND(SUM(D$64:D$65)&gt;D18,SUM(D$64:D$65)&lt;D23),(1/D$67)*(SUM(D$64:D$65)-D18)/(D23-D18)+D$66*(D23-SUM(D$64:D$65))/(D23-D18),0%)</f>
        <v>0</v>
      </c>
      <c r="E79" s="30">
        <f t="shared" ref="E79" si="8">IF(AND(SUM(E$64:E$65)&gt;E18,SUM(E$64:E$65)&lt;E23),(1/E$67)*(SUM(E$64:E$65)-E18)/(E23-E18)+E$66*(E23-SUM(E$64:E$65))/(E23-E18),0%)</f>
        <v>0</v>
      </c>
      <c r="G79" s="30">
        <f>IF(AND(SUM(G$64:G$65)&gt;G18,SUM(G$64:G$65)&lt;G23),(1/G$67)*(SUM(G$64:G$65)-G18)/(G23-G18)+G$66*(G23-SUM(G$64:G$65))/(G23-G18),0%)</f>
        <v>0</v>
      </c>
      <c r="H79" s="30">
        <f t="shared" ref="H79" si="9">IF(AND(SUM(H$64:H$65)&gt;H18,SUM(H$64:H$65)&lt;H23),(1/H$67)*(SUM(H$64:H$65)-H18)/(H23-H18)+H$66*(H23-SUM(H$64:H$65))/(H23-H18),0%)</f>
        <v>0</v>
      </c>
    </row>
    <row r="80" spans="2:8" x14ac:dyDescent="0.25">
      <c r="C80" s="13" t="s">
        <v>4</v>
      </c>
      <c r="D80" s="30">
        <f>IF(AND(SUM(D$64:D$65)&gt;D19,SUM(D$64:D$65)&lt;D24),(1/D$67)*(SUM(D$64:D$65)-D19)/(D24-D19)+D$66*(D24-SUM(D$64:D$65))/(D24-D19),0%)</f>
        <v>7.85</v>
      </c>
      <c r="E80" s="30">
        <f>IF(AND(SUM(E$64:E$65)&gt;E19,SUM(E$64:E$65)&lt;E24),(1/E$67)*(SUM(E$64:E$65)-E19)/(E24-E19)+E$66*(E24-SUM(E$64:E$65))/(E24-E19),0%)</f>
        <v>8.0714285714285747</v>
      </c>
      <c r="G80" s="30">
        <f>IF(AND(SUM(G$64:G$65)&gt;G19,SUM(G$64:G$65)&lt;G24),(1/G$67)*(SUM(G$64:G$65)-G19)/(G24-G19)+G$66*(G24-SUM(G$64:G$65))/(G24-G19),0%)</f>
        <v>7.8312499999999998</v>
      </c>
      <c r="H80" s="30">
        <f>IF(AND(SUM(H$64:H$65)&gt;H19,SUM(H$64:H$65)&lt;H24),(1/H$67)*(SUM(H$64:H$65)-H19)/(H24-H19)+H$66*(H24-SUM(H$64:H$65))/(H24-H19),0%)</f>
        <v>8.0535714285714306</v>
      </c>
    </row>
    <row r="81" spans="2:8" x14ac:dyDescent="0.25">
      <c r="C81" s="13" t="s">
        <v>5</v>
      </c>
      <c r="D81" s="30">
        <f t="shared" ref="D81:E81" si="10">IF(AND(SUM(D$64:D$65)&gt;D20,SUM(D$64:D$65)&lt;D25),(1/D$67)*(SUM(D$64:D$65)-D20)/(D25-D20)+D$66*(D25-SUM(D$64:D$65))/(D25-D20),0%)</f>
        <v>0</v>
      </c>
      <c r="E81" s="30">
        <f t="shared" si="10"/>
        <v>0</v>
      </c>
      <c r="G81" s="30">
        <f t="shared" ref="G81:H81" si="11">IF(AND(SUM(G$64:G$65)&gt;G20,SUM(G$64:G$65)&lt;G25),(1/G$67)*(SUM(G$64:G$65)-G20)/(G25-G20)+G$66*(G25-SUM(G$64:G$65))/(G25-G20),0%)</f>
        <v>0</v>
      </c>
      <c r="H81" s="30">
        <f t="shared" si="11"/>
        <v>0</v>
      </c>
    </row>
    <row r="82" spans="2:8" ht="17.25" x14ac:dyDescent="0.4">
      <c r="D82" s="29" t="s">
        <v>58</v>
      </c>
      <c r="E82" s="29" t="s">
        <v>58</v>
      </c>
      <c r="G82" s="29" t="s">
        <v>58</v>
      </c>
      <c r="H82" s="29" t="s">
        <v>58</v>
      </c>
    </row>
    <row r="83" spans="2:8" x14ac:dyDescent="0.25">
      <c r="C83" s="4" t="s">
        <v>96</v>
      </c>
      <c r="D83" s="30">
        <f t="shared" ref="D83:E85" si="12">MAX(D$66,SUM(D71,D75,D79))</f>
        <v>0.1</v>
      </c>
      <c r="E83" s="30">
        <f t="shared" si="12"/>
        <v>0.1</v>
      </c>
      <c r="G83" s="30">
        <f t="shared" ref="G83:H83" si="13">MAX(G$66,SUM(G71,G75,G79))</f>
        <v>0.05</v>
      </c>
      <c r="H83" s="30">
        <f t="shared" si="13"/>
        <v>0.05</v>
      </c>
    </row>
    <row r="84" spans="2:8" x14ac:dyDescent="0.25">
      <c r="C84" s="13" t="s">
        <v>4</v>
      </c>
      <c r="D84" s="30">
        <f t="shared" si="12"/>
        <v>7.85</v>
      </c>
      <c r="E84" s="30">
        <f t="shared" si="12"/>
        <v>8.0714285714285747</v>
      </c>
      <c r="G84" s="30">
        <f t="shared" ref="G84:H84" si="14">MAX(G$66,SUM(G72,G76,G80))</f>
        <v>7.8312499999999998</v>
      </c>
      <c r="H84" s="30">
        <f t="shared" si="14"/>
        <v>8.0535714285714306</v>
      </c>
    </row>
    <row r="85" spans="2:8" x14ac:dyDescent="0.25">
      <c r="C85" s="13" t="s">
        <v>5</v>
      </c>
      <c r="D85" s="30">
        <f t="shared" si="12"/>
        <v>12.5</v>
      </c>
      <c r="E85" s="30">
        <f t="shared" si="12"/>
        <v>12.5</v>
      </c>
      <c r="G85" s="30">
        <f t="shared" ref="G85:H85" si="15">MAX(G$66,SUM(G73,G77,G81))</f>
        <v>12.5</v>
      </c>
      <c r="H85" s="30">
        <f t="shared" si="15"/>
        <v>12.5</v>
      </c>
    </row>
    <row r="87" spans="2:8" ht="18.75" x14ac:dyDescent="0.3">
      <c r="B87" s="8" t="s">
        <v>15</v>
      </c>
      <c r="C87" s="8"/>
      <c r="D87" s="28"/>
      <c r="E87" s="28"/>
      <c r="G87" s="28"/>
      <c r="H87" s="28"/>
    </row>
    <row r="88" spans="2:8" ht="12" customHeight="1" x14ac:dyDescent="0.25"/>
    <row r="89" spans="2:8" ht="17.25" x14ac:dyDescent="0.4">
      <c r="C89" s="17"/>
      <c r="D89" s="29" t="s">
        <v>59</v>
      </c>
      <c r="E89" s="29" t="s">
        <v>59</v>
      </c>
      <c r="G89" s="29" t="s">
        <v>59</v>
      </c>
      <c r="H89" s="29" t="s">
        <v>59</v>
      </c>
    </row>
    <row r="90" spans="2:8" x14ac:dyDescent="0.25">
      <c r="C90" s="4" t="s">
        <v>96</v>
      </c>
      <c r="D90" s="30">
        <f t="shared" ref="D90:E92" si="16">IF(SUM(D$64:D$65)&gt;=D23,100%,IF(SUM(D$64:D$65)&lt;=D18,0%,(SUM(D$64:D$65)-D18)/(D23-D18)))</f>
        <v>0</v>
      </c>
      <c r="E90" s="30">
        <f t="shared" si="16"/>
        <v>0</v>
      </c>
      <c r="G90" s="30">
        <f t="shared" ref="G90:H90" si="17">IF(SUM(G$64:G$65)&gt;=G23,100%,IF(SUM(G$64:G$65)&lt;=G18,0%,(SUM(G$64:G$65)-G18)/(G23-G18)))</f>
        <v>0</v>
      </c>
      <c r="H90" s="30">
        <f t="shared" si="17"/>
        <v>0</v>
      </c>
    </row>
    <row r="91" spans="2:8" x14ac:dyDescent="0.25">
      <c r="C91" s="13" t="s">
        <v>4</v>
      </c>
      <c r="D91" s="30">
        <f t="shared" si="16"/>
        <v>0.625</v>
      </c>
      <c r="E91" s="30">
        <f t="shared" si="16"/>
        <v>0.64285714285714302</v>
      </c>
      <c r="G91" s="30">
        <f t="shared" ref="G91:H91" si="18">IF(SUM(G$64:G$65)&gt;=G24,100%,IF(SUM(G$64:G$65)&lt;=G19,0%,(SUM(G$64:G$65)-G19)/(G24-G19)))</f>
        <v>0.625</v>
      </c>
      <c r="H91" s="30">
        <f t="shared" si="18"/>
        <v>0.64285714285714302</v>
      </c>
    </row>
    <row r="92" spans="2:8" x14ac:dyDescent="0.25">
      <c r="C92" s="13" t="s">
        <v>5</v>
      </c>
      <c r="D92" s="30">
        <f t="shared" si="16"/>
        <v>1</v>
      </c>
      <c r="E92" s="30">
        <f t="shared" si="16"/>
        <v>1</v>
      </c>
      <c r="G92" s="30">
        <f t="shared" ref="G92:H92" si="19">IF(SUM(G$64:G$65)&gt;=G25,100%,IF(SUM(G$64:G$65)&lt;=G20,0%,(SUM(G$64:G$65)-G20)/(G25-G20)))</f>
        <v>1</v>
      </c>
      <c r="H92" s="30">
        <f t="shared" si="19"/>
        <v>1</v>
      </c>
    </row>
    <row r="93" spans="2:8" ht="12" customHeight="1" x14ac:dyDescent="0.25"/>
    <row r="94" spans="2:8" ht="17.25" x14ac:dyDescent="0.4">
      <c r="C94" s="17"/>
      <c r="D94" s="29" t="s">
        <v>60</v>
      </c>
      <c r="E94" s="29" t="s">
        <v>60</v>
      </c>
      <c r="G94" s="29" t="s">
        <v>60</v>
      </c>
      <c r="H94" s="29" t="s">
        <v>60</v>
      </c>
    </row>
    <row r="95" spans="2:8" x14ac:dyDescent="0.25">
      <c r="C95" s="4" t="s">
        <v>96</v>
      </c>
      <c r="D95" s="30">
        <f t="shared" ref="D95:E97" si="20">IF(D$65&gt;=D23,100%,IF(D$65&lt;=D18,0%,(D$65-D18)/(D23-D18)))</f>
        <v>0</v>
      </c>
      <c r="E95" s="30">
        <f t="shared" si="20"/>
        <v>0</v>
      </c>
      <c r="G95" s="30">
        <f t="shared" ref="G95:H95" si="21">IF(G$65&gt;=G23,100%,IF(G$65&lt;=G18,0%,(G$65-G18)/(G23-G18)))</f>
        <v>0</v>
      </c>
      <c r="H95" s="30">
        <f t="shared" si="21"/>
        <v>0</v>
      </c>
    </row>
    <row r="96" spans="2:8" x14ac:dyDescent="0.25">
      <c r="C96" s="13" t="s">
        <v>4</v>
      </c>
      <c r="D96" s="30">
        <f t="shared" si="20"/>
        <v>0</v>
      </c>
      <c r="E96" s="30">
        <f t="shared" si="20"/>
        <v>0</v>
      </c>
      <c r="G96" s="30">
        <f t="shared" ref="G96:H96" si="22">IF(G$65&gt;=G24,100%,IF(G$65&lt;=G19,0%,(G$65-G19)/(G24-G19)))</f>
        <v>0</v>
      </c>
      <c r="H96" s="30">
        <f t="shared" si="22"/>
        <v>0</v>
      </c>
    </row>
    <row r="97" spans="2:8" x14ac:dyDescent="0.25">
      <c r="C97" s="13" t="s">
        <v>5</v>
      </c>
      <c r="D97" s="30">
        <f t="shared" si="20"/>
        <v>0.5</v>
      </c>
      <c r="E97" s="30">
        <f t="shared" si="20"/>
        <v>0.5714285714285714</v>
      </c>
      <c r="G97" s="30">
        <f t="shared" ref="G97:H97" si="23">IF(G$65&gt;=G25,100%,IF(G$65&lt;=G20,0%,(G$65-G20)/(G25-G20)))</f>
        <v>0.5</v>
      </c>
      <c r="H97" s="30">
        <f t="shared" si="23"/>
        <v>0.5714285714285714</v>
      </c>
    </row>
    <row r="99" spans="2:8" ht="18.75" x14ac:dyDescent="0.3">
      <c r="B99" s="8" t="s">
        <v>16</v>
      </c>
      <c r="C99" s="8"/>
      <c r="D99" s="28"/>
      <c r="E99" s="28"/>
      <c r="G99" s="28"/>
      <c r="H99" s="28"/>
    </row>
    <row r="101" spans="2:8" x14ac:dyDescent="0.25">
      <c r="C101" s="9" t="s">
        <v>17</v>
      </c>
      <c r="D101" s="28"/>
      <c r="E101" s="28"/>
      <c r="G101" s="28"/>
      <c r="H101" s="28"/>
    </row>
    <row r="103" spans="2:8" ht="17.25" x14ac:dyDescent="0.4">
      <c r="D103" s="31" t="s">
        <v>61</v>
      </c>
      <c r="E103" s="31" t="s">
        <v>61</v>
      </c>
      <c r="G103" s="31" t="s">
        <v>61</v>
      </c>
      <c r="H103" s="31" t="s">
        <v>61</v>
      </c>
    </row>
    <row r="104" spans="2:8" x14ac:dyDescent="0.25">
      <c r="C104" s="4" t="s">
        <v>96</v>
      </c>
      <c r="D104" s="30">
        <f t="shared" ref="D104:E106" si="24">MAX(0%,D90-MAX(D95,D42))</f>
        <v>0</v>
      </c>
      <c r="E104" s="30">
        <f t="shared" si="24"/>
        <v>0</v>
      </c>
      <c r="G104" s="30">
        <f t="shared" ref="G104:H104" si="25">MAX(0%,G90-MAX(G95,G42))</f>
        <v>0</v>
      </c>
      <c r="H104" s="30">
        <f t="shared" si="25"/>
        <v>0</v>
      </c>
    </row>
    <row r="105" spans="2:8" x14ac:dyDescent="0.25">
      <c r="C105" s="13" t="s">
        <v>4</v>
      </c>
      <c r="D105" s="32">
        <f t="shared" si="24"/>
        <v>0.625</v>
      </c>
      <c r="E105" s="32">
        <f t="shared" si="24"/>
        <v>0.39285714285714302</v>
      </c>
      <c r="G105" s="32">
        <f t="shared" ref="G105:H105" si="26">MAX(0%,G91-MAX(G96,G43))</f>
        <v>0.625</v>
      </c>
      <c r="H105" s="32">
        <f t="shared" si="26"/>
        <v>0.39285714285714302</v>
      </c>
    </row>
    <row r="106" spans="2:8" x14ac:dyDescent="0.25">
      <c r="C106" s="13" t="s">
        <v>5</v>
      </c>
      <c r="D106" s="32">
        <f t="shared" si="24"/>
        <v>0.5</v>
      </c>
      <c r="E106" s="32">
        <f t="shared" si="24"/>
        <v>0.4285714285714286</v>
      </c>
      <c r="G106" s="32">
        <f t="shared" ref="G106:H106" si="27">MAX(0%,G92-MAX(G97,G44))</f>
        <v>0.5</v>
      </c>
      <c r="H106" s="32">
        <f t="shared" si="27"/>
        <v>0.4285714285714286</v>
      </c>
    </row>
    <row r="108" spans="2:8" ht="17.25" x14ac:dyDescent="0.4">
      <c r="D108" s="31" t="s">
        <v>62</v>
      </c>
      <c r="E108" s="31" t="s">
        <v>62</v>
      </c>
      <c r="G108" s="31" t="s">
        <v>62</v>
      </c>
      <c r="H108" s="31" t="s">
        <v>62</v>
      </c>
    </row>
    <row r="109" spans="2:8" x14ac:dyDescent="0.25">
      <c r="C109" s="4" t="s">
        <v>96</v>
      </c>
      <c r="D109" s="33">
        <f t="shared" ref="D109:E111" si="28">100%-MAX(D90,D42)</f>
        <v>1</v>
      </c>
      <c r="E109" s="33">
        <f t="shared" si="28"/>
        <v>1</v>
      </c>
      <c r="G109" s="33">
        <f t="shared" ref="G109:H109" si="29">100%-MAX(G90,G42)</f>
        <v>1</v>
      </c>
      <c r="H109" s="33">
        <f t="shared" si="29"/>
        <v>1</v>
      </c>
    </row>
    <row r="110" spans="2:8" x14ac:dyDescent="0.25">
      <c r="C110" s="13" t="s">
        <v>4</v>
      </c>
      <c r="D110" s="33">
        <f t="shared" si="28"/>
        <v>0.375</v>
      </c>
      <c r="E110" s="33">
        <f t="shared" si="28"/>
        <v>0.35714285714285698</v>
      </c>
      <c r="G110" s="33">
        <f t="shared" ref="G110:H110" si="30">100%-MAX(G91,G43)</f>
        <v>0.375</v>
      </c>
      <c r="H110" s="33">
        <f t="shared" si="30"/>
        <v>0.35714285714285698</v>
      </c>
    </row>
    <row r="111" spans="2:8" x14ac:dyDescent="0.25">
      <c r="C111" s="13" t="s">
        <v>5</v>
      </c>
      <c r="D111" s="33">
        <f t="shared" si="28"/>
        <v>0</v>
      </c>
      <c r="E111" s="33">
        <f t="shared" si="28"/>
        <v>0</v>
      </c>
      <c r="G111" s="33">
        <f t="shared" ref="G111:H111" si="31">100%-MAX(G92,G44)</f>
        <v>0</v>
      </c>
      <c r="H111" s="33">
        <f t="shared" si="31"/>
        <v>0</v>
      </c>
    </row>
    <row r="113" spans="3:8" ht="17.25" x14ac:dyDescent="0.4">
      <c r="D113" s="31" t="s">
        <v>63</v>
      </c>
      <c r="E113" s="31" t="s">
        <v>63</v>
      </c>
      <c r="G113" s="31" t="s">
        <v>63</v>
      </c>
      <c r="H113" s="31" t="s">
        <v>63</v>
      </c>
    </row>
    <row r="114" spans="3:8" x14ac:dyDescent="0.25">
      <c r="C114" s="4" t="s">
        <v>96</v>
      </c>
      <c r="D114" s="30">
        <f>IF(D95&lt;100%,MAX(0%,1-D47*(D104*(1/D$67)+D109*D$66)/(D83-D95*(1/D$67))),100%)</f>
        <v>1</v>
      </c>
      <c r="E114" s="30">
        <f>IF(E95&lt;100%,MAX(0%,1-E47*(E104*(1/E$67)+E109*E$66)/(E83-E95*(1/E$67))),100%)</f>
        <v>1</v>
      </c>
      <c r="G114" s="30">
        <f>IF(G95&lt;100%,MAX(0%,1-G47*(G104*(1/G$67)+G109*G$66)/(G83-G95*(1/G$67))),100%)</f>
        <v>1</v>
      </c>
      <c r="H114" s="30">
        <f>IF(H95&lt;100%,MAX(0%,1-H47*(H104*(1/H$67)+H109*H$66)/(H83-H95*(1/H$67))),100%)</f>
        <v>1</v>
      </c>
    </row>
    <row r="115" spans="3:8" x14ac:dyDescent="0.25">
      <c r="C115" s="13" t="s">
        <v>4</v>
      </c>
      <c r="D115" s="30">
        <f t="shared" ref="D115" si="32">IF(D96&lt;100%,MAX(0%,1-D48*(D105*(1/D$67)+D110*D$66)/(D84-D96*(1/D$67))),100%)</f>
        <v>1</v>
      </c>
      <c r="E115" s="30">
        <f>IF(E96&lt;100%,MAX(0%,1-E48*(E105*(1/E$67)+E110*E$66)/(E84-E96*(1/E$67))),100%)</f>
        <v>0.95403761061946901</v>
      </c>
      <c r="G115" s="30">
        <f t="shared" ref="G115" si="33">IF(G96&lt;100%,MAX(0%,1-G48*(G105*(1/G$67)+G110*G$66)/(G84-G96*(1/G$67))),100%)</f>
        <v>1</v>
      </c>
      <c r="H115" s="30">
        <f>IF(H96&lt;100%,MAX(0%,1-H48*(H105*(1/H$67)+H110*H$66)/(H84-H96*(1/H$67))),100%)</f>
        <v>0.9541019955654102</v>
      </c>
    </row>
    <row r="116" spans="3:8" x14ac:dyDescent="0.25">
      <c r="C116" s="13" t="s">
        <v>5</v>
      </c>
      <c r="D116" s="30">
        <f t="shared" ref="D116" si="34">IF(D97&lt;100%,MAX(0%,1-D49*(D106*(1/D$67)+D111*D$66)/(D85-D97*(1/D$67))),100%)</f>
        <v>1</v>
      </c>
      <c r="E116" s="30">
        <f>IF(E97&lt;100%,MAX(0%,1-E49*(E106*(1/E$67)+E111*E$66)/(E85-E97*(1/E$67))),100%)</f>
        <v>1</v>
      </c>
      <c r="G116" s="30">
        <f t="shared" ref="G116" si="35">IF(G97&lt;100%,MAX(0%,1-G49*(G106*(1/G$67)+G111*G$66)/(G85-G97*(1/G$67))),100%)</f>
        <v>1</v>
      </c>
      <c r="H116" s="30">
        <f>IF(H97&lt;100%,MAX(0%,1-H49*(H106*(1/H$67)+H111*H$66)/(H85-H97*(1/H$67))),100%)</f>
        <v>1</v>
      </c>
    </row>
    <row r="118" spans="3:8" x14ac:dyDescent="0.25">
      <c r="C118" s="9" t="s">
        <v>18</v>
      </c>
      <c r="D118" s="28"/>
      <c r="E118" s="28"/>
      <c r="G118" s="28"/>
      <c r="H118" s="28"/>
    </row>
    <row r="119" spans="3:8" ht="16.5" x14ac:dyDescent="0.3">
      <c r="C119" s="13" t="s">
        <v>64</v>
      </c>
      <c r="D119" s="34">
        <f>(D56-D57)/(100%-D57)</f>
        <v>0.99</v>
      </c>
      <c r="E119" s="34">
        <f>(E56-E57)/(100%-E57)</f>
        <v>0</v>
      </c>
      <c r="G119" s="34">
        <f>(G56-G57)/(100%-G57)</f>
        <v>0.99</v>
      </c>
      <c r="H119" s="34">
        <f>(H56-H57)/(100%-H57)</f>
        <v>0</v>
      </c>
    </row>
    <row r="120" spans="3:8" ht="16.5" x14ac:dyDescent="0.3">
      <c r="C120" s="13" t="s">
        <v>65</v>
      </c>
      <c r="D120" s="34">
        <f>(D58-D59)/(100%-D59)</f>
        <v>0</v>
      </c>
      <c r="E120" s="34">
        <f>(E58-E59)/(100%-E59)</f>
        <v>0.93500000000000005</v>
      </c>
      <c r="G120" s="34">
        <f>(G58-G59)/(100%-G59)</f>
        <v>0</v>
      </c>
      <c r="H120" s="34">
        <f>(H58-H59)/(100%-H59)</f>
        <v>0.93500000000000005</v>
      </c>
    </row>
    <row r="121" spans="3:8" ht="16.5" x14ac:dyDescent="0.3">
      <c r="C121" s="24" t="s">
        <v>66</v>
      </c>
      <c r="D121" s="35">
        <f>MAX(SUM(D$64:D$65)*D119-D$65,0%)</f>
        <v>2.7200000000000002E-2</v>
      </c>
      <c r="E121" s="35">
        <f>MAX(SUM(E$64:E$65)*E119-E$65,0%)</f>
        <v>0</v>
      </c>
      <c r="G121" s="35">
        <f>MAX(SUM(G$64:G$65)*G119-G$65,0%)</f>
        <v>2.7200000000000002E-2</v>
      </c>
      <c r="H121" s="35">
        <f>MAX(SUM(H$64:H$65)*H119-H$65,0%)</f>
        <v>0</v>
      </c>
    </row>
    <row r="122" spans="3:8" ht="16.5" x14ac:dyDescent="0.3">
      <c r="C122" s="25" t="s">
        <v>67</v>
      </c>
      <c r="D122" s="36">
        <f>MAX(SUM(D$64:D$65)*D120-D$65,0%)</f>
        <v>0</v>
      </c>
      <c r="E122" s="36">
        <f>MAX(SUM(E$64:E$65)*E120-E$65,0%)</f>
        <v>2.2310000000000003E-2</v>
      </c>
      <c r="G122" s="36">
        <f>MAX(SUM(G$64:G$65)*G120-G$65,0%)</f>
        <v>0</v>
      </c>
      <c r="H122" s="36">
        <f>MAX(SUM(H$64:H$65)*H120-H$65,0%)</f>
        <v>2.2310000000000003E-2</v>
      </c>
    </row>
    <row r="124" spans="3:8" ht="18" x14ac:dyDescent="0.4">
      <c r="D124" s="31" t="s">
        <v>68</v>
      </c>
      <c r="E124" s="31" t="s">
        <v>68</v>
      </c>
      <c r="G124" s="31" t="s">
        <v>68</v>
      </c>
      <c r="H124" s="31" t="s">
        <v>68</v>
      </c>
    </row>
    <row r="125" spans="3:8" x14ac:dyDescent="0.25">
      <c r="C125" s="4" t="s">
        <v>96</v>
      </c>
      <c r="D125" s="30">
        <f t="shared" ref="D125:E127" si="36">IF(D90&gt;D95,(MAX(0,MIN(1,(D$121+D$65-D18)/(D23-D18)))-D95)/(D90-D95),100%)</f>
        <v>1</v>
      </c>
      <c r="E125" s="30">
        <f t="shared" si="36"/>
        <v>1</v>
      </c>
      <c r="G125" s="30">
        <f t="shared" ref="G125:H125" si="37">IF(G90&gt;G95,(MAX(0,MIN(1,(G$121+G$65-G18)/(G23-G18)))-G95)/(G90-G95),100%)</f>
        <v>1</v>
      </c>
      <c r="H125" s="30">
        <f t="shared" si="37"/>
        <v>1</v>
      </c>
    </row>
    <row r="126" spans="3:8" x14ac:dyDescent="0.25">
      <c r="C126" s="13" t="s">
        <v>4</v>
      </c>
      <c r="D126" s="30">
        <f t="shared" si="36"/>
        <v>0.98799999999999988</v>
      </c>
      <c r="E126" s="30">
        <f t="shared" si="36"/>
        <v>0</v>
      </c>
      <c r="G126" s="30">
        <f t="shared" ref="G126:H126" si="38">IF(G91&gt;G96,(MAX(0,MIN(1,(G$121+G$65-G19)/(G24-G19)))-G96)/(G91-G96),100%)</f>
        <v>0.98799999999999988</v>
      </c>
      <c r="H126" s="30">
        <f t="shared" si="38"/>
        <v>0</v>
      </c>
    </row>
    <row r="127" spans="3:8" x14ac:dyDescent="0.25">
      <c r="C127" s="13" t="s">
        <v>5</v>
      </c>
      <c r="D127" s="30">
        <f t="shared" si="36"/>
        <v>1</v>
      </c>
      <c r="E127" s="30">
        <f t="shared" si="36"/>
        <v>0</v>
      </c>
      <c r="G127" s="30">
        <f t="shared" ref="G127:H127" si="39">IF(G92&gt;G97,(MAX(0,MIN(1,(G$121+G$65-G20)/(G25-G20)))-G97)/(G92-G97),100%)</f>
        <v>1</v>
      </c>
      <c r="H127" s="30">
        <f t="shared" si="39"/>
        <v>0</v>
      </c>
    </row>
    <row r="129" spans="2:8" ht="18" x14ac:dyDescent="0.4">
      <c r="D129" s="31" t="s">
        <v>69</v>
      </c>
      <c r="E129" s="31" t="s">
        <v>69</v>
      </c>
      <c r="G129" s="31" t="s">
        <v>69</v>
      </c>
      <c r="H129" s="31" t="s">
        <v>69</v>
      </c>
    </row>
    <row r="130" spans="2:8" x14ac:dyDescent="0.25">
      <c r="C130" s="4" t="s">
        <v>96</v>
      </c>
      <c r="D130" s="30">
        <f t="shared" ref="D130:E132" si="40">IF(D90&gt;D95,(MAX(0,MIN(1,(D$122+D$65-D18)/(D23-D18)))-D95)/(D90-D95),100%)</f>
        <v>1</v>
      </c>
      <c r="E130" s="30">
        <f t="shared" si="40"/>
        <v>1</v>
      </c>
      <c r="G130" s="30">
        <f t="shared" ref="G130:H130" si="41">IF(G90&gt;G95,(MAX(0,MIN(1,(G$122+G$65-G18)/(G23-G18)))-G95)/(G90-G95),100%)</f>
        <v>1</v>
      </c>
      <c r="H130" s="30">
        <f t="shared" si="41"/>
        <v>1</v>
      </c>
    </row>
    <row r="131" spans="2:8" x14ac:dyDescent="0.25">
      <c r="C131" s="13" t="s">
        <v>4</v>
      </c>
      <c r="D131" s="30">
        <f t="shared" si="40"/>
        <v>0</v>
      </c>
      <c r="E131" s="30">
        <f t="shared" si="40"/>
        <v>0.92488888888888898</v>
      </c>
      <c r="G131" s="30">
        <f t="shared" ref="G131:H131" si="42">IF(G91&gt;G96,(MAX(0,MIN(1,(G$122+G$65-G19)/(G24-G19)))-G96)/(G91-G96),100%)</f>
        <v>0</v>
      </c>
      <c r="H131" s="30">
        <f t="shared" si="42"/>
        <v>0.92488888888888898</v>
      </c>
    </row>
    <row r="132" spans="2:8" x14ac:dyDescent="0.25">
      <c r="C132" s="13" t="s">
        <v>5</v>
      </c>
      <c r="D132" s="30">
        <f t="shared" si="40"/>
        <v>0</v>
      </c>
      <c r="E132" s="30">
        <f t="shared" si="40"/>
        <v>1</v>
      </c>
      <c r="G132" s="30">
        <f t="shared" ref="G132:H132" si="43">IF(G92&gt;G97,(MAX(0,MIN(1,(G$122+G$65-G20)/(G25-G20)))-G97)/(G92-G97),100%)</f>
        <v>0</v>
      </c>
      <c r="H132" s="30">
        <f t="shared" si="43"/>
        <v>1</v>
      </c>
    </row>
    <row r="134" spans="2:8" x14ac:dyDescent="0.25">
      <c r="C134" s="9" t="s">
        <v>146</v>
      </c>
      <c r="D134" s="28"/>
      <c r="E134" s="28"/>
      <c r="G134" s="28"/>
      <c r="H134" s="28"/>
    </row>
    <row r="135" spans="2:8" ht="16.5" x14ac:dyDescent="0.25">
      <c r="C135" s="64" t="s">
        <v>70</v>
      </c>
      <c r="D135" s="65">
        <f>IF(D64&lt;=1.6%,100%,IF(D64&gt;=4%,90%,1.06667-4.16667*D64))</f>
        <v>0.95208657500000005</v>
      </c>
      <c r="E135" s="65">
        <f>IF(E64&lt;=1.6%,100%,IF(E64&gt;=4%,90%,1.06667-4.16667*E64))</f>
        <v>0.96666991999999996</v>
      </c>
      <c r="G135" s="65">
        <v>1</v>
      </c>
      <c r="H135" s="65">
        <v>1</v>
      </c>
    </row>
    <row r="137" spans="2:8" ht="18.75" x14ac:dyDescent="0.3">
      <c r="B137" s="8" t="s">
        <v>19</v>
      </c>
      <c r="C137" s="8"/>
      <c r="D137" s="28"/>
      <c r="E137" s="28"/>
      <c r="G137" s="28"/>
      <c r="H137" s="28"/>
    </row>
    <row r="139" spans="2:8" x14ac:dyDescent="0.25">
      <c r="C139" s="9" t="s">
        <v>20</v>
      </c>
      <c r="D139" s="28"/>
      <c r="E139" s="28"/>
      <c r="G139" s="28"/>
      <c r="H139" s="28"/>
    </row>
    <row r="141" spans="2:8" ht="17.25" x14ac:dyDescent="0.4">
      <c r="D141" s="31" t="s">
        <v>71</v>
      </c>
      <c r="E141" s="31" t="s">
        <v>71</v>
      </c>
      <c r="G141" s="31" t="s">
        <v>71</v>
      </c>
      <c r="H141" s="31" t="s">
        <v>71</v>
      </c>
    </row>
    <row r="142" spans="2:8" x14ac:dyDescent="0.25">
      <c r="C142" s="4" t="s">
        <v>96</v>
      </c>
      <c r="D142" s="37">
        <f t="shared" ref="D142:E144" si="44">100%-D30*D125*D$135-D35*D114*D130*D$135</f>
        <v>1</v>
      </c>
      <c r="E142" s="37">
        <f t="shared" si="44"/>
        <v>1</v>
      </c>
      <c r="G142" s="37">
        <f t="shared" ref="G142:H142" si="45">100%-G30*G125*G$135-G35*G114*G130*G$135</f>
        <v>1</v>
      </c>
      <c r="H142" s="37">
        <f t="shared" si="45"/>
        <v>1</v>
      </c>
    </row>
    <row r="143" spans="2:8" x14ac:dyDescent="0.25">
      <c r="C143" s="13" t="s">
        <v>4</v>
      </c>
      <c r="D143" s="37">
        <f t="shared" si="44"/>
        <v>0.1063715407050001</v>
      </c>
      <c r="E143" s="37">
        <f t="shared" si="44"/>
        <v>0.14703096987176789</v>
      </c>
      <c r="G143" s="37">
        <f t="shared" ref="G143:H143" si="46">100%-G31*G126*G$135-G36*G115*G131*G$135</f>
        <v>6.1400000000000121E-2</v>
      </c>
      <c r="H143" s="37">
        <f t="shared" si="46"/>
        <v>0.11756166543483604</v>
      </c>
    </row>
    <row r="144" spans="2:8" x14ac:dyDescent="0.25">
      <c r="C144" s="13" t="s">
        <v>5</v>
      </c>
      <c r="D144" s="37">
        <f t="shared" si="44"/>
        <v>1</v>
      </c>
      <c r="E144" s="37">
        <f t="shared" si="44"/>
        <v>1</v>
      </c>
      <c r="G144" s="37">
        <f t="shared" ref="G144:H144" si="47">100%-G32*G127*G$135-G37*G116*G132*G$135</f>
        <v>1</v>
      </c>
      <c r="H144" s="37">
        <f t="shared" si="47"/>
        <v>1</v>
      </c>
    </row>
    <row r="147" spans="2:8" x14ac:dyDescent="0.25">
      <c r="C147" s="9" t="s">
        <v>21</v>
      </c>
      <c r="D147" s="28"/>
      <c r="E147" s="28"/>
      <c r="G147" s="28"/>
      <c r="H147" s="28"/>
    </row>
    <row r="149" spans="2:8" ht="17.25" x14ac:dyDescent="0.4">
      <c r="D149" s="31" t="s">
        <v>72</v>
      </c>
      <c r="E149" s="31" t="s">
        <v>72</v>
      </c>
      <c r="G149" s="31" t="s">
        <v>72</v>
      </c>
      <c r="H149" s="31" t="s">
        <v>72</v>
      </c>
    </row>
    <row r="150" spans="2:8" x14ac:dyDescent="0.25">
      <c r="C150" s="4" t="s">
        <v>96</v>
      </c>
      <c r="D150" s="38">
        <f t="shared" ref="D150:E152" si="48">D142*D$11*(D23-D18)*(1-D95/(D83*D$67))</f>
        <v>955000000</v>
      </c>
      <c r="E150" s="38">
        <f t="shared" si="48"/>
        <v>961500000</v>
      </c>
      <c r="G150" s="38">
        <f t="shared" ref="G150:H150" si="49">G142*G$11*(G23-G18)*(1-G95/(G83*G$67))</f>
        <v>955000000</v>
      </c>
      <c r="H150" s="38">
        <f t="shared" si="49"/>
        <v>961500000</v>
      </c>
    </row>
    <row r="151" spans="2:8" x14ac:dyDescent="0.25">
      <c r="C151" s="13" t="s">
        <v>4</v>
      </c>
      <c r="D151" s="38">
        <f t="shared" si="48"/>
        <v>4254861.6282000039</v>
      </c>
      <c r="E151" s="38">
        <f t="shared" si="48"/>
        <v>5146083.9455118757</v>
      </c>
      <c r="G151" s="38">
        <f t="shared" ref="G151:H151" si="50">G143*G$11*(G24-G19)*(1-G96/(G84*G$67))</f>
        <v>2456000.0000000047</v>
      </c>
      <c r="H151" s="38">
        <f t="shared" si="50"/>
        <v>4114658.2902192613</v>
      </c>
    </row>
    <row r="152" spans="2:8" x14ac:dyDescent="0.25">
      <c r="C152" s="13" t="s">
        <v>5</v>
      </c>
      <c r="D152" s="38">
        <f t="shared" si="48"/>
        <v>2500000</v>
      </c>
      <c r="E152" s="38">
        <f t="shared" si="48"/>
        <v>1500000</v>
      </c>
      <c r="G152" s="38">
        <f t="shared" ref="G152:H152" si="51">G144*G$11*(G25-G20)*(1-G97/(G85*G$67))</f>
        <v>2500000</v>
      </c>
      <c r="H152" s="38">
        <f t="shared" si="51"/>
        <v>1500000</v>
      </c>
    </row>
    <row r="154" spans="2:8" ht="18.75" x14ac:dyDescent="0.3">
      <c r="B154" s="8" t="s">
        <v>22</v>
      </c>
      <c r="C154" s="8"/>
      <c r="D154" s="28"/>
      <c r="E154" s="28"/>
      <c r="G154" s="28"/>
      <c r="H154" s="28"/>
    </row>
    <row r="156" spans="2:8" x14ac:dyDescent="0.25">
      <c r="C156" s="9" t="s">
        <v>23</v>
      </c>
      <c r="D156" s="28"/>
      <c r="E156" s="28"/>
      <c r="G156" s="28"/>
      <c r="H156" s="28"/>
    </row>
    <row r="158" spans="2:8" ht="17.25" x14ac:dyDescent="0.4">
      <c r="D158" s="31" t="s">
        <v>73</v>
      </c>
      <c r="E158" s="31" t="s">
        <v>73</v>
      </c>
      <c r="G158" s="31" t="s">
        <v>73</v>
      </c>
      <c r="H158" s="31" t="s">
        <v>73</v>
      </c>
    </row>
    <row r="159" spans="2:8" x14ac:dyDescent="0.25">
      <c r="C159" s="4" t="s">
        <v>96</v>
      </c>
      <c r="D159" s="38">
        <f>IF(D$13="N",D$10*(D23-D18),0)</f>
        <v>71625000</v>
      </c>
      <c r="E159" s="38">
        <f>IF(E$13="N",E$10*(E23-E18),0)</f>
        <v>0</v>
      </c>
      <c r="G159" s="38">
        <f>IF(G$13="N",G$10*(G23-G18),0)</f>
        <v>71625000</v>
      </c>
      <c r="H159" s="38">
        <f>IF(H$13="N",H$10*(H23-H18),0)</f>
        <v>0</v>
      </c>
    </row>
    <row r="160" spans="2:8" x14ac:dyDescent="0.25">
      <c r="C160" s="13" t="s">
        <v>4</v>
      </c>
      <c r="D160" s="38">
        <f t="shared" ref="D160" si="52">IF(D$13="N",D$10*(D24-D19),0)</f>
        <v>3000000</v>
      </c>
      <c r="E160" s="38">
        <f>IF(E$13="N",E$10*(E24-E19),0)</f>
        <v>0</v>
      </c>
      <c r="G160" s="38">
        <f t="shared" ref="G160:G161" si="53">IF(G$13="N",G$10*(G24-G19),0)</f>
        <v>3000000</v>
      </c>
      <c r="H160" s="38">
        <f>IF(H$13="N",H$10*(H24-H19),0)</f>
        <v>0</v>
      </c>
    </row>
    <row r="161" spans="3:8" x14ac:dyDescent="0.25">
      <c r="C161" s="13" t="s">
        <v>5</v>
      </c>
      <c r="D161" s="38">
        <f t="shared" ref="D161" si="54">IF(D$13="N",D$10*(D25-D20),0)</f>
        <v>375000</v>
      </c>
      <c r="E161" s="38">
        <f>IF(E$13="N",E$10*(E25-E20),0)</f>
        <v>0</v>
      </c>
      <c r="G161" s="38">
        <f t="shared" si="53"/>
        <v>375000</v>
      </c>
      <c r="H161" s="38">
        <f>IF(H$13="N",H$10*(H25-H20),0)</f>
        <v>0</v>
      </c>
    </row>
    <row r="164" spans="3:8" x14ac:dyDescent="0.25">
      <c r="C164" s="9" t="s">
        <v>24</v>
      </c>
      <c r="D164" s="28"/>
      <c r="E164" s="28"/>
      <c r="G164" s="28"/>
      <c r="H164" s="28"/>
    </row>
    <row r="166" spans="3:8" ht="17.25" x14ac:dyDescent="0.4">
      <c r="D166" s="31" t="s">
        <v>74</v>
      </c>
      <c r="E166" s="31" t="s">
        <v>74</v>
      </c>
      <c r="G166" s="31" t="s">
        <v>74</v>
      </c>
      <c r="H166" s="31" t="s">
        <v>74</v>
      </c>
    </row>
    <row r="167" spans="3:8" x14ac:dyDescent="0.25">
      <c r="C167" s="4" t="s">
        <v>96</v>
      </c>
      <c r="D167" s="38">
        <f t="shared" ref="D167:E169" si="55">D150*D83+D159</f>
        <v>167125000</v>
      </c>
      <c r="E167" s="38">
        <f t="shared" si="55"/>
        <v>96150000</v>
      </c>
      <c r="G167" s="38">
        <f t="shared" ref="G167:H167" si="56">G150*G83+G159</f>
        <v>119375000</v>
      </c>
      <c r="H167" s="38">
        <f t="shared" si="56"/>
        <v>48075000</v>
      </c>
    </row>
    <row r="168" spans="3:8" x14ac:dyDescent="0.25">
      <c r="C168" s="13" t="s">
        <v>4</v>
      </c>
      <c r="D168" s="38">
        <f t="shared" si="55"/>
        <v>36400663.781370029</v>
      </c>
      <c r="E168" s="38">
        <f t="shared" si="55"/>
        <v>41536248.988774441</v>
      </c>
      <c r="G168" s="38">
        <f t="shared" ref="G168:H168" si="57">G151*G84+G160</f>
        <v>22233550.000000037</v>
      </c>
      <c r="H168" s="38">
        <f t="shared" si="57"/>
        <v>33137694.444444418</v>
      </c>
    </row>
    <row r="169" spans="3:8" x14ac:dyDescent="0.25">
      <c r="C169" s="13" t="s">
        <v>5</v>
      </c>
      <c r="D169" s="38">
        <f t="shared" si="55"/>
        <v>31625000</v>
      </c>
      <c r="E169" s="38">
        <f t="shared" si="55"/>
        <v>18750000</v>
      </c>
      <c r="G169" s="38">
        <f t="shared" ref="G169:H169" si="58">G152*G85+G161</f>
        <v>31625000</v>
      </c>
      <c r="H169" s="38">
        <f t="shared" si="58"/>
        <v>18750000</v>
      </c>
    </row>
    <row r="170" spans="3:8" x14ac:dyDescent="0.25">
      <c r="D170" s="39"/>
      <c r="E170" s="39"/>
      <c r="G170" s="39"/>
      <c r="H170" s="39"/>
    </row>
    <row r="171" spans="3:8" x14ac:dyDescent="0.25">
      <c r="C171" s="9" t="s">
        <v>25</v>
      </c>
      <c r="D171" s="28"/>
      <c r="E171" s="28"/>
      <c r="G171" s="28"/>
      <c r="H171" s="28"/>
    </row>
    <row r="172" spans="3:8" x14ac:dyDescent="0.25">
      <c r="C172" s="17"/>
      <c r="D172" s="40"/>
      <c r="E172" s="40"/>
      <c r="G172" s="40"/>
      <c r="H172" s="40"/>
    </row>
    <row r="173" spans="3:8" ht="16.5" x14ac:dyDescent="0.3">
      <c r="C173" s="11" t="s">
        <v>75</v>
      </c>
      <c r="D173" s="38">
        <f>SUM(D167:D169)</f>
        <v>235150663.78137004</v>
      </c>
      <c r="E173" s="38">
        <f>SUM(E167:E169)</f>
        <v>156436248.98877445</v>
      </c>
      <c r="G173" s="38">
        <f>SUM(G167:G169)</f>
        <v>173233550.00000003</v>
      </c>
      <c r="H173" s="38">
        <f>SUM(H167:H169)</f>
        <v>99962694.444444418</v>
      </c>
    </row>
    <row r="174" spans="3:8" ht="16.5" x14ac:dyDescent="0.3">
      <c r="C174" s="13" t="s">
        <v>76</v>
      </c>
      <c r="D174" s="38">
        <f>D9-D173</f>
        <v>183599336.21863002</v>
      </c>
      <c r="E174" s="38">
        <f>E9-E173</f>
        <v>143563751.01122555</v>
      </c>
      <c r="G174" s="38">
        <f>G9-G173</f>
        <v>245516450.00000003</v>
      </c>
      <c r="H174" s="38">
        <f>H9-H173</f>
        <v>200037305.55555558</v>
      </c>
    </row>
    <row r="175" spans="3:8" x14ac:dyDescent="0.25">
      <c r="D175" s="39"/>
      <c r="E175" s="39"/>
      <c r="G175" s="39"/>
      <c r="H175" s="39"/>
    </row>
    <row r="176" spans="3:8" x14ac:dyDescent="0.25">
      <c r="C176" s="9" t="s">
        <v>155</v>
      </c>
      <c r="D176" s="28"/>
      <c r="E176" s="28"/>
      <c r="G176" s="28"/>
      <c r="H176" s="28"/>
    </row>
    <row r="177" spans="3:8" x14ac:dyDescent="0.25">
      <c r="C177" s="17"/>
      <c r="D177" s="40"/>
      <c r="E177" s="40"/>
      <c r="G177" s="39"/>
      <c r="H177" s="39"/>
    </row>
    <row r="178" spans="3:8" ht="16.5" x14ac:dyDescent="0.25">
      <c r="C178" s="137" t="s">
        <v>154</v>
      </c>
      <c r="D178" s="67"/>
      <c r="E178" s="58"/>
      <c r="G178" s="58">
        <f>G174/D174-1</f>
        <v>0.33724040106353725</v>
      </c>
      <c r="H178" s="58">
        <f>H174/E174-1</f>
        <v>0.39336917673538796</v>
      </c>
    </row>
    <row r="179" spans="3:8" x14ac:dyDescent="0.25">
      <c r="D179" s="39"/>
      <c r="E179" s="39"/>
      <c r="G179" s="39"/>
      <c r="H179" s="39"/>
    </row>
  </sheetData>
  <mergeCells count="5">
    <mergeCell ref="D6:E6"/>
    <mergeCell ref="G6:H6"/>
    <mergeCell ref="D3:E3"/>
    <mergeCell ref="G3:H3"/>
    <mergeCell ref="B8:H8"/>
  </mergeCells>
  <pageMargins left="0.25" right="0.25" top="0.75" bottom="0.75" header="0.3" footer="0.3"/>
  <pageSetup scale="66" orientation="landscape" r:id="rId1"/>
  <headerFooter>
    <oddFooter>&amp;L&amp;"-,Italic"The information provided in the 2021 Enterprise Regulatory Capital CRT spreadsheet is for illustrative and 
explanatory purposes only and does not replace the regulation published at 12 CFR 1240.   &amp;R&amp;P of &amp;N</oddFooter>
  </headerFooter>
  <rowBreaks count="10" manualBreakCount="10">
    <brk id="25" max="16383" man="1"/>
    <brk id="38" max="16383" man="1"/>
    <brk id="60" max="16383" man="1"/>
    <brk id="68" max="16383" man="1"/>
    <brk id="86" max="16383" man="1"/>
    <brk id="98" max="16383" man="1"/>
    <brk id="117" max="16383" man="1"/>
    <brk id="136" max="16383" man="1"/>
    <brk id="153" max="16383" man="1"/>
    <brk id="17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H125"/>
  <sheetViews>
    <sheetView showGridLines="0" zoomScaleNormal="100" zoomScaleSheetLayoutView="100" workbookViewId="0">
      <selection activeCell="G6" sqref="G6"/>
    </sheetView>
  </sheetViews>
  <sheetFormatPr defaultColWidth="8.7109375" defaultRowHeight="15" x14ac:dyDescent="0.25"/>
  <cols>
    <col min="1" max="1" width="13.7109375" style="4" customWidth="1"/>
    <col min="2" max="2" width="17.5703125" style="4" customWidth="1"/>
    <col min="3" max="3" width="28.7109375" style="4" customWidth="1"/>
    <col min="4" max="4" width="30" style="4" customWidth="1"/>
    <col min="5" max="5" width="2.140625" style="4" customWidth="1"/>
    <col min="6" max="6" width="30" style="4" customWidth="1"/>
    <col min="7" max="7" width="12.42578125" style="4" customWidth="1"/>
    <col min="8" max="16326" width="8.7109375" style="4"/>
    <col min="16327" max="16327" width="8.7109375" style="4" customWidth="1"/>
    <col min="16328" max="16384" width="8.7109375" style="4"/>
  </cols>
  <sheetData>
    <row r="1" spans="1:8" ht="48.6" customHeight="1" x14ac:dyDescent="0.3">
      <c r="A1" s="4" t="s">
        <v>159</v>
      </c>
      <c r="B1" s="107"/>
      <c r="C1" s="6"/>
    </row>
    <row r="2" spans="1:8" ht="20.25" x14ac:dyDescent="0.3">
      <c r="B2" s="107"/>
      <c r="C2" s="6"/>
    </row>
    <row r="3" spans="1:8" ht="24.6" customHeight="1" x14ac:dyDescent="0.6">
      <c r="B3" s="107"/>
      <c r="C3" s="6"/>
      <c r="D3" s="156" t="s">
        <v>151</v>
      </c>
      <c r="E3" s="156"/>
      <c r="F3" s="156" t="s">
        <v>149</v>
      </c>
      <c r="G3" s="160"/>
      <c r="H3" s="160"/>
    </row>
    <row r="4" spans="1:8" ht="15.6" customHeight="1" x14ac:dyDescent="0.3">
      <c r="C4" s="6"/>
      <c r="D4" s="151" t="s">
        <v>29</v>
      </c>
      <c r="F4" s="151" t="s">
        <v>29</v>
      </c>
    </row>
    <row r="5" spans="1:8" s="139" customFormat="1" ht="23.1" customHeight="1" x14ac:dyDescent="0.6">
      <c r="B5" s="144"/>
      <c r="C5" s="144"/>
      <c r="D5" s="177" t="s">
        <v>139</v>
      </c>
      <c r="E5" s="177"/>
      <c r="F5" s="177"/>
      <c r="G5" s="145"/>
    </row>
    <row r="6" spans="1:8" s="114" customFormat="1" ht="8.1" customHeight="1" x14ac:dyDescent="0.6">
      <c r="B6" s="112"/>
      <c r="C6" s="112"/>
      <c r="D6" s="113"/>
      <c r="E6" s="113"/>
      <c r="F6" s="113"/>
    </row>
    <row r="7" spans="1:8" ht="60" customHeight="1" x14ac:dyDescent="0.3">
      <c r="B7" s="176" t="s">
        <v>0</v>
      </c>
      <c r="C7" s="176"/>
      <c r="D7" s="176"/>
    </row>
    <row r="8" spans="1:8" ht="16.5" x14ac:dyDescent="0.3">
      <c r="C8" s="4" t="s">
        <v>37</v>
      </c>
      <c r="D8" s="101">
        <v>12500000</v>
      </c>
      <c r="E8" s="5"/>
      <c r="F8" s="101">
        <v>12500000</v>
      </c>
    </row>
    <row r="9" spans="1:8" ht="16.5" x14ac:dyDescent="0.3">
      <c r="C9" s="13" t="s">
        <v>38</v>
      </c>
      <c r="D9" s="102">
        <v>0</v>
      </c>
      <c r="F9" s="102">
        <v>0</v>
      </c>
    </row>
    <row r="10" spans="1:8" ht="16.5" x14ac:dyDescent="0.3">
      <c r="C10" s="13" t="s">
        <v>39</v>
      </c>
      <c r="D10" s="102">
        <v>20000000</v>
      </c>
      <c r="F10" s="102">
        <v>20000000</v>
      </c>
    </row>
    <row r="11" spans="1:8" ht="16.5" x14ac:dyDescent="0.3">
      <c r="C11" s="13" t="s">
        <v>40</v>
      </c>
      <c r="D11" s="102">
        <v>100000</v>
      </c>
      <c r="E11" s="44"/>
      <c r="F11" s="102">
        <v>100000</v>
      </c>
    </row>
    <row r="12" spans="1:8" ht="16.5" x14ac:dyDescent="0.3">
      <c r="C12" s="13" t="s">
        <v>41</v>
      </c>
      <c r="D12" s="103" t="s">
        <v>1</v>
      </c>
      <c r="F12" s="103" t="s">
        <v>1</v>
      </c>
    </row>
    <row r="14" spans="1:8" ht="18.75" x14ac:dyDescent="0.3">
      <c r="B14" s="8" t="s">
        <v>27</v>
      </c>
      <c r="C14" s="8"/>
      <c r="D14" s="9"/>
      <c r="F14" s="9"/>
    </row>
    <row r="15" spans="1:8" ht="15.95" customHeight="1" x14ac:dyDescent="0.3">
      <c r="B15" s="14"/>
      <c r="C15" s="14"/>
      <c r="D15" s="15"/>
      <c r="F15" s="15"/>
    </row>
    <row r="16" spans="1:8" ht="17.25" x14ac:dyDescent="0.25">
      <c r="D16" s="16" t="s">
        <v>94</v>
      </c>
      <c r="F16" s="16" t="s">
        <v>94</v>
      </c>
    </row>
    <row r="17" spans="2:6" x14ac:dyDescent="0.25">
      <c r="D17" s="111">
        <v>0</v>
      </c>
      <c r="F17" s="111">
        <v>0</v>
      </c>
    </row>
    <row r="18" spans="2:6" x14ac:dyDescent="0.25">
      <c r="C18" s="17"/>
      <c r="D18" s="78"/>
      <c r="F18" s="78"/>
    </row>
    <row r="19" spans="2:6" ht="17.25" x14ac:dyDescent="0.25">
      <c r="D19" s="79" t="s">
        <v>95</v>
      </c>
      <c r="E19" s="16"/>
      <c r="F19" s="79" t="s">
        <v>95</v>
      </c>
    </row>
    <row r="20" spans="2:6" x14ac:dyDescent="0.25">
      <c r="D20" s="111">
        <v>1</v>
      </c>
      <c r="F20" s="111">
        <v>1</v>
      </c>
    </row>
    <row r="21" spans="2:6" x14ac:dyDescent="0.25">
      <c r="C21" s="17"/>
      <c r="D21" s="17"/>
      <c r="F21" s="17"/>
    </row>
    <row r="22" spans="2:6" ht="20.25" x14ac:dyDescent="0.35">
      <c r="B22" s="8" t="s">
        <v>77</v>
      </c>
      <c r="C22" s="8"/>
      <c r="D22" s="9"/>
      <c r="F22" s="9"/>
    </row>
    <row r="23" spans="2:6" ht="15.95" customHeight="1" x14ac:dyDescent="0.3">
      <c r="B23" s="14"/>
      <c r="C23" s="14"/>
      <c r="D23" s="15"/>
      <c r="F23" s="15"/>
    </row>
    <row r="24" spans="2:6" ht="17.25" x14ac:dyDescent="0.25">
      <c r="D24" s="16" t="s">
        <v>44</v>
      </c>
      <c r="F24" s="16" t="s">
        <v>44</v>
      </c>
    </row>
    <row r="25" spans="2:6" x14ac:dyDescent="0.25">
      <c r="D25" s="111">
        <v>0.33</v>
      </c>
      <c r="F25" s="111">
        <v>0.33</v>
      </c>
    </row>
    <row r="26" spans="2:6" x14ac:dyDescent="0.25">
      <c r="D26" s="20"/>
      <c r="F26" s="20"/>
    </row>
    <row r="27" spans="2:6" ht="40.5" customHeight="1" x14ac:dyDescent="0.3">
      <c r="B27" s="182" t="s">
        <v>125</v>
      </c>
      <c r="C27" s="182"/>
      <c r="D27" s="182"/>
    </row>
    <row r="28" spans="2:6" ht="18.75" x14ac:dyDescent="0.3">
      <c r="C28" s="21"/>
      <c r="D28" s="17"/>
      <c r="F28" s="17"/>
    </row>
    <row r="29" spans="2:6" ht="17.25" x14ac:dyDescent="0.25">
      <c r="D29" s="16" t="s">
        <v>46</v>
      </c>
      <c r="F29" s="16" t="s">
        <v>46</v>
      </c>
    </row>
    <row r="30" spans="2:6" x14ac:dyDescent="0.25">
      <c r="D30" s="111">
        <v>0.03</v>
      </c>
      <c r="F30" s="111">
        <v>0.03</v>
      </c>
    </row>
    <row r="31" spans="2:6" x14ac:dyDescent="0.25">
      <c r="D31" s="47"/>
      <c r="F31" s="47"/>
    </row>
    <row r="32" spans="2:6" ht="17.25" x14ac:dyDescent="0.25">
      <c r="D32" s="79" t="s">
        <v>47</v>
      </c>
      <c r="F32" s="79" t="s">
        <v>47</v>
      </c>
    </row>
    <row r="33" spans="1:7" x14ac:dyDescent="0.25">
      <c r="D33" s="111">
        <v>7.0000000000000007E-2</v>
      </c>
      <c r="F33" s="111">
        <v>7.0000000000000007E-2</v>
      </c>
    </row>
    <row r="34" spans="1:7" x14ac:dyDescent="0.25">
      <c r="D34" s="20"/>
      <c r="F34" s="20"/>
    </row>
    <row r="35" spans="1:7" ht="18.75" x14ac:dyDescent="0.3">
      <c r="B35" s="8" t="s">
        <v>6</v>
      </c>
      <c r="C35" s="8"/>
      <c r="D35" s="9"/>
      <c r="F35" s="9"/>
    </row>
    <row r="36" spans="1:7" ht="16.5" x14ac:dyDescent="0.3">
      <c r="C36" s="13" t="s">
        <v>78</v>
      </c>
      <c r="D36" s="106">
        <v>360</v>
      </c>
      <c r="F36" s="106">
        <v>360</v>
      </c>
    </row>
    <row r="37" spans="1:7" ht="16.5" x14ac:dyDescent="0.3">
      <c r="C37" s="13" t="s">
        <v>79</v>
      </c>
      <c r="D37" s="106">
        <v>360</v>
      </c>
      <c r="F37" s="106">
        <v>360</v>
      </c>
    </row>
    <row r="38" spans="1:7" x14ac:dyDescent="0.25">
      <c r="D38" s="23"/>
      <c r="F38" s="23"/>
    </row>
    <row r="39" spans="1:7" x14ac:dyDescent="0.25">
      <c r="D39" s="22"/>
      <c r="F39" s="22"/>
    </row>
    <row r="40" spans="1:7" s="110" customFormat="1" ht="24.75" x14ac:dyDescent="0.6">
      <c r="A40" s="146" t="s">
        <v>30</v>
      </c>
      <c r="B40" s="146"/>
      <c r="C40" s="146"/>
      <c r="D40" s="147"/>
      <c r="E40" s="4"/>
      <c r="F40" s="147"/>
      <c r="G40" s="4"/>
    </row>
    <row r="42" spans="1:7" s="52" customFormat="1" ht="41.1" customHeight="1" x14ac:dyDescent="0.3">
      <c r="B42" s="176" t="s">
        <v>80</v>
      </c>
      <c r="C42" s="176"/>
      <c r="D42" s="176"/>
      <c r="F42" s="161"/>
    </row>
    <row r="43" spans="1:7" ht="16.5" x14ac:dyDescent="0.3">
      <c r="C43" s="24" t="s">
        <v>53</v>
      </c>
      <c r="D43" s="22">
        <f>IF(D12="Y",D8*D46/D10,(D8-D9)*D46/D10)</f>
        <v>0.05</v>
      </c>
      <c r="F43" s="22">
        <f>IF(F12="Y",F8*F46/F10,(F8-F9)*F46/F10)</f>
        <v>0.05</v>
      </c>
    </row>
    <row r="44" spans="1:7" ht="16.5" x14ac:dyDescent="0.3">
      <c r="C44" s="25" t="s">
        <v>54</v>
      </c>
      <c r="D44" s="26">
        <f>D11/D10</f>
        <v>5.0000000000000001E-3</v>
      </c>
      <c r="F44" s="26">
        <f>F11/F10</f>
        <v>5.0000000000000001E-3</v>
      </c>
    </row>
    <row r="45" spans="1:7" x14ac:dyDescent="0.25">
      <c r="C45" s="25" t="s">
        <v>12</v>
      </c>
      <c r="D45" s="27">
        <v>0.1</v>
      </c>
      <c r="F45" s="27">
        <v>0.05</v>
      </c>
    </row>
    <row r="46" spans="1:7" x14ac:dyDescent="0.25">
      <c r="C46" s="25" t="s">
        <v>13</v>
      </c>
      <c r="D46" s="26">
        <v>0.08</v>
      </c>
      <c r="F46" s="26">
        <v>0.08</v>
      </c>
    </row>
    <row r="48" spans="1:7" ht="5.0999999999999996" customHeight="1" x14ac:dyDescent="0.25"/>
    <row r="49" spans="2:6" s="52" customFormat="1" ht="18.75" x14ac:dyDescent="0.3">
      <c r="B49" s="8" t="s">
        <v>28</v>
      </c>
      <c r="C49" s="99"/>
      <c r="D49" s="115"/>
      <c r="F49" s="115"/>
    </row>
    <row r="50" spans="2:6" ht="17.25" x14ac:dyDescent="0.4">
      <c r="D50" s="29" t="s">
        <v>55</v>
      </c>
      <c r="F50" s="29" t="s">
        <v>55</v>
      </c>
    </row>
    <row r="51" spans="2:6" x14ac:dyDescent="0.25">
      <c r="D51" s="30">
        <f>IF(SUM(D$43:D$44)&gt;=D20,1/D$46,0%)</f>
        <v>0</v>
      </c>
      <c r="F51" s="30">
        <f>IF(SUM(F$43:F$44)&gt;=F20,1/F$46,0%)</f>
        <v>0</v>
      </c>
    </row>
    <row r="52" spans="2:6" ht="17.25" x14ac:dyDescent="0.4">
      <c r="D52" s="29" t="s">
        <v>56</v>
      </c>
      <c r="F52" s="29" t="s">
        <v>56</v>
      </c>
    </row>
    <row r="53" spans="2:6" x14ac:dyDescent="0.25">
      <c r="D53" s="30">
        <f>IF(SUM(D$43:D$44)&lt;=D17,D$45,0%)</f>
        <v>0</v>
      </c>
      <c r="F53" s="30">
        <f>IF(SUM(F$43:F$44)&lt;=F17,F$45,0%)</f>
        <v>0</v>
      </c>
    </row>
    <row r="54" spans="2:6" ht="17.25" x14ac:dyDescent="0.4">
      <c r="D54" s="29" t="s">
        <v>57</v>
      </c>
      <c r="F54" s="29" t="s">
        <v>57</v>
      </c>
    </row>
    <row r="55" spans="2:6" x14ac:dyDescent="0.25">
      <c r="D55" s="45">
        <f>IF(AND(SUM(D$43:D$44)&gt;D17,SUM(D$43:D$44)&lt;D20),(1/D$46)*(SUM(D$43:D$44)-D17)/(D20-D17)+D$45*(D20-SUM(D$43:D$44))/(D20-D17),0%)</f>
        <v>0.78200000000000003</v>
      </c>
      <c r="F55" s="45">
        <f>IF(AND(SUM(F$43:F$44)&gt;F17,SUM(F$43:F$44)&lt;F20),(1/F$46)*(SUM(F$43:F$44)-F17)/(F20-F17)+F$45*(F20-SUM(F$43:F$44))/(F20-F17),0%)</f>
        <v>0.73475000000000001</v>
      </c>
    </row>
    <row r="56" spans="2:6" ht="17.25" x14ac:dyDescent="0.4">
      <c r="D56" s="29" t="s">
        <v>81</v>
      </c>
      <c r="F56" s="29" t="s">
        <v>81</v>
      </c>
    </row>
    <row r="57" spans="2:6" x14ac:dyDescent="0.25">
      <c r="D57" s="30">
        <f>MAX(D$45,SUM(D51,D53,D55))</f>
        <v>0.78200000000000003</v>
      </c>
      <c r="F57" s="30">
        <f>MAX(F$45,SUM(F51,F53,F55))</f>
        <v>0.73475000000000001</v>
      </c>
    </row>
    <row r="58" spans="2:6" hidden="1" x14ac:dyDescent="0.25"/>
    <row r="59" spans="2:6" ht="11.1" customHeight="1" x14ac:dyDescent="0.25"/>
    <row r="60" spans="2:6" s="52" customFormat="1" ht="18.75" x14ac:dyDescent="0.3">
      <c r="B60" s="8" t="s">
        <v>15</v>
      </c>
      <c r="C60" s="99"/>
      <c r="D60" s="115"/>
      <c r="F60" s="115"/>
    </row>
    <row r="62" spans="2:6" ht="17.25" x14ac:dyDescent="0.4">
      <c r="C62" s="17"/>
      <c r="D62" s="29" t="s">
        <v>82</v>
      </c>
      <c r="F62" s="29" t="s">
        <v>82</v>
      </c>
    </row>
    <row r="63" spans="2:6" x14ac:dyDescent="0.25">
      <c r="D63" s="46">
        <f>IF(SUM(D$43:D$44)&gt;=D20,100%,IF(SUM(D$43:D$44)&lt;=D17,0%,(SUM(D$43:D$44)-D17)/(D20-D17)))</f>
        <v>5.5E-2</v>
      </c>
      <c r="F63" s="46">
        <f>IF(SUM(F$43:F$44)&gt;=F20,100%,IF(SUM(F$43:F$44)&lt;=F17,0%,(SUM(F$43:F$44)-F17)/(F20-F17)))</f>
        <v>5.5E-2</v>
      </c>
    </row>
    <row r="64" spans="2:6" ht="11.45" customHeight="1" x14ac:dyDescent="0.25"/>
    <row r="65" spans="2:6" ht="17.25" x14ac:dyDescent="0.4">
      <c r="C65" s="17"/>
      <c r="D65" s="29" t="s">
        <v>83</v>
      </c>
      <c r="F65" s="29" t="s">
        <v>83</v>
      </c>
    </row>
    <row r="66" spans="2:6" x14ac:dyDescent="0.25">
      <c r="D66" s="46">
        <f>IF(D$44&gt;=D20,100%,IF(D$44&lt;=D17,0%,(D$44-D17)/(D20-D17)))</f>
        <v>5.0000000000000001E-3</v>
      </c>
      <c r="F66" s="46">
        <f>IF(F$44&gt;=F20,100%,IF(F$44&lt;=F17,0%,(F$44-F17)/(F20-F17)))</f>
        <v>5.0000000000000001E-3</v>
      </c>
    </row>
    <row r="67" spans="2:6" ht="11.45" customHeight="1" x14ac:dyDescent="0.25"/>
    <row r="68" spans="2:6" s="52" customFormat="1" ht="18.75" x14ac:dyDescent="0.3">
      <c r="B68" s="8" t="s">
        <v>16</v>
      </c>
      <c r="C68" s="99"/>
      <c r="D68" s="115"/>
      <c r="F68" s="115"/>
    </row>
    <row r="69" spans="2:6" ht="12" customHeight="1" x14ac:dyDescent="0.25"/>
    <row r="70" spans="2:6" x14ac:dyDescent="0.25">
      <c r="C70" s="9" t="s">
        <v>17</v>
      </c>
      <c r="D70" s="28"/>
      <c r="F70" s="28"/>
    </row>
    <row r="71" spans="2:6" ht="11.45" customHeight="1" x14ac:dyDescent="0.25"/>
    <row r="72" spans="2:6" ht="17.25" x14ac:dyDescent="0.4">
      <c r="D72" s="31" t="s">
        <v>84</v>
      </c>
      <c r="F72" s="31" t="s">
        <v>84</v>
      </c>
    </row>
    <row r="73" spans="2:6" x14ac:dyDescent="0.25">
      <c r="D73" s="46">
        <f>MAX(0%,D63-MAX(D66,D30))</f>
        <v>2.5000000000000001E-2</v>
      </c>
      <c r="F73" s="46">
        <f>MAX(0%,F63-MAX(F66,F30))</f>
        <v>2.5000000000000001E-2</v>
      </c>
    </row>
    <row r="74" spans="2:6" ht="11.45" customHeight="1" x14ac:dyDescent="0.25"/>
    <row r="75" spans="2:6" ht="17.25" x14ac:dyDescent="0.4">
      <c r="D75" s="31" t="s">
        <v>85</v>
      </c>
      <c r="F75" s="31" t="s">
        <v>85</v>
      </c>
    </row>
    <row r="76" spans="2:6" x14ac:dyDescent="0.25">
      <c r="D76" s="37">
        <f>100%-MAX(D63,D30)</f>
        <v>0.94499999999999995</v>
      </c>
      <c r="F76" s="37">
        <f>100%-MAX(F63,F30)</f>
        <v>0.94499999999999995</v>
      </c>
    </row>
    <row r="77" spans="2:6" ht="11.45" customHeight="1" x14ac:dyDescent="0.25"/>
    <row r="78" spans="2:6" ht="17.25" x14ac:dyDescent="0.4">
      <c r="D78" s="31" t="s">
        <v>86</v>
      </c>
      <c r="F78" s="31" t="s">
        <v>86</v>
      </c>
    </row>
    <row r="79" spans="2:6" x14ac:dyDescent="0.25">
      <c r="D79" s="46">
        <f>IF(D66&lt;100%,MAX(0%,1-D33*(D73*(1/D$46)+D76*D$45)/(D57-D66*(1/D$46))),100%)</f>
        <v>0.96040305767894374</v>
      </c>
      <c r="F79" s="46">
        <f>IF(F66&lt;100%,MAX(0%,1-F33*(F73*(1/F$46)+F76*F$45)/(F57-F66*(1/F$46))),100%)</f>
        <v>0.96253997768687238</v>
      </c>
    </row>
    <row r="81" spans="2:6" x14ac:dyDescent="0.25">
      <c r="C81" s="9" t="s">
        <v>18</v>
      </c>
      <c r="D81" s="28"/>
      <c r="F81" s="28"/>
    </row>
    <row r="82" spans="2:6" ht="16.5" x14ac:dyDescent="0.3">
      <c r="C82" s="13" t="s">
        <v>65</v>
      </c>
      <c r="D82" s="34">
        <f>D36/D37</f>
        <v>1</v>
      </c>
      <c r="F82" s="34">
        <f>F36/F37</f>
        <v>1</v>
      </c>
    </row>
    <row r="83" spans="2:6" ht="16.5" x14ac:dyDescent="0.3">
      <c r="C83" s="25" t="s">
        <v>67</v>
      </c>
      <c r="D83" s="36">
        <f>MAX(SUM(D$43:D$44)*D82-D$44,0%)</f>
        <v>0.05</v>
      </c>
      <c r="F83" s="36">
        <f>MAX(SUM(F$43:F$44)*F82-F$44,0%)</f>
        <v>0.05</v>
      </c>
    </row>
    <row r="85" spans="2:6" ht="18" x14ac:dyDescent="0.4">
      <c r="D85" s="31" t="s">
        <v>87</v>
      </c>
      <c r="F85" s="31" t="s">
        <v>87</v>
      </c>
    </row>
    <row r="86" spans="2:6" x14ac:dyDescent="0.25">
      <c r="D86" s="30">
        <f>IF(D63&gt;D66,(MAX(0,MIN(1,(D$83+D$44-D17)/(D20-D17)))-D66)/(D63-D66),100%)</f>
        <v>1</v>
      </c>
      <c r="F86" s="30">
        <f>IF(F63&gt;F66,(MAX(0,MIN(1,(F$83+F$44-F17)/(F20-F17)))-F66)/(F63-F66),100%)</f>
        <v>1</v>
      </c>
    </row>
    <row r="88" spans="2:6" x14ac:dyDescent="0.25">
      <c r="C88" s="9" t="s">
        <v>146</v>
      </c>
      <c r="D88" s="28"/>
      <c r="F88" s="28"/>
    </row>
    <row r="89" spans="2:6" ht="16.5" x14ac:dyDescent="0.25">
      <c r="C89" s="64" t="s">
        <v>70</v>
      </c>
      <c r="D89" s="65">
        <f>IF(D43&lt;=1.6%,100%,IF(D43&gt;=4%,90%,1.06667-4.16667*D43))</f>
        <v>0.9</v>
      </c>
      <c r="F89" s="65">
        <v>1</v>
      </c>
    </row>
    <row r="92" spans="2:6" s="52" customFormat="1" ht="18.75" x14ac:dyDescent="0.3">
      <c r="B92" s="8" t="s">
        <v>19</v>
      </c>
      <c r="C92" s="99"/>
      <c r="D92" s="115"/>
      <c r="F92" s="115"/>
    </row>
    <row r="94" spans="2:6" x14ac:dyDescent="0.25">
      <c r="C94" s="9" t="s">
        <v>20</v>
      </c>
      <c r="D94" s="28"/>
      <c r="F94" s="28"/>
    </row>
    <row r="96" spans="2:6" ht="17.25" x14ac:dyDescent="0.4">
      <c r="D96" s="31" t="s">
        <v>88</v>
      </c>
      <c r="F96" s="31" t="s">
        <v>88</v>
      </c>
    </row>
    <row r="97" spans="2:6" x14ac:dyDescent="0.25">
      <c r="D97" s="37">
        <f>100%-D25*D79*D86*D$89</f>
        <v>0.71476029186935364</v>
      </c>
      <c r="F97" s="37">
        <f>100%-F25*F79*F86*F$89</f>
        <v>0.68236180736333207</v>
      </c>
    </row>
    <row r="100" spans="2:6" x14ac:dyDescent="0.25">
      <c r="C100" s="9" t="s">
        <v>21</v>
      </c>
      <c r="D100" s="28"/>
      <c r="F100" s="28"/>
    </row>
    <row r="102" spans="2:6" ht="17.25" x14ac:dyDescent="0.4">
      <c r="D102" s="31" t="s">
        <v>89</v>
      </c>
      <c r="F102" s="31" t="s">
        <v>89</v>
      </c>
    </row>
    <row r="103" spans="2:6" x14ac:dyDescent="0.25">
      <c r="D103" s="38">
        <f>D97*D$10*(D20-D17)*(1-D66/(D57*D$46))</f>
        <v>13152686.189258309</v>
      </c>
      <c r="F103" s="38">
        <f>F97*F$10*(F20-F17)*(1-F66/(F57*F$46))</f>
        <v>12486362.027900646</v>
      </c>
    </row>
    <row r="105" spans="2:6" s="52" customFormat="1" ht="18.75" x14ac:dyDescent="0.3">
      <c r="B105" s="8" t="s">
        <v>31</v>
      </c>
      <c r="C105" s="99"/>
      <c r="D105" s="115"/>
      <c r="F105" s="115"/>
    </row>
    <row r="107" spans="2:6" x14ac:dyDescent="0.25">
      <c r="C107" s="9" t="s">
        <v>23</v>
      </c>
      <c r="D107" s="28"/>
      <c r="F107" s="28"/>
    </row>
    <row r="109" spans="2:6" ht="17.25" x14ac:dyDescent="0.4">
      <c r="D109" s="31" t="s">
        <v>90</v>
      </c>
      <c r="F109" s="31" t="s">
        <v>90</v>
      </c>
    </row>
    <row r="110" spans="2:6" x14ac:dyDescent="0.25">
      <c r="D110" s="38">
        <f>IF(D12="N",D$9*(D20-D17),0)</f>
        <v>0</v>
      </c>
      <c r="F110" s="38">
        <f>IF(F12="N",F$9*(F20-F17),0)</f>
        <v>0</v>
      </c>
    </row>
    <row r="113" spans="3:6" x14ac:dyDescent="0.25">
      <c r="C113" s="9" t="s">
        <v>33</v>
      </c>
      <c r="D113" s="28"/>
      <c r="F113" s="28"/>
    </row>
    <row r="115" spans="3:6" ht="17.25" x14ac:dyDescent="0.4">
      <c r="D115" s="31" t="s">
        <v>91</v>
      </c>
      <c r="F115" s="31" t="s">
        <v>91</v>
      </c>
    </row>
    <row r="116" spans="3:6" x14ac:dyDescent="0.25">
      <c r="D116" s="38">
        <f>D103*D57+D110</f>
        <v>10285400.599999998</v>
      </c>
      <c r="F116" s="38">
        <f>F103*F57+F110</f>
        <v>9174354.5</v>
      </c>
    </row>
    <row r="117" spans="3:6" x14ac:dyDescent="0.25">
      <c r="D117" s="39"/>
      <c r="F117" s="39"/>
    </row>
    <row r="118" spans="3:6" x14ac:dyDescent="0.25">
      <c r="C118" s="9" t="s">
        <v>32</v>
      </c>
      <c r="D118" s="28"/>
      <c r="F118" s="28"/>
    </row>
    <row r="119" spans="3:6" x14ac:dyDescent="0.25">
      <c r="C119" s="17"/>
      <c r="D119" s="40"/>
      <c r="F119" s="40"/>
    </row>
    <row r="120" spans="3:6" x14ac:dyDescent="0.25">
      <c r="C120" s="11" t="s">
        <v>34</v>
      </c>
      <c r="D120" s="38">
        <f>SUM(D116:D116)</f>
        <v>10285400.599999998</v>
      </c>
      <c r="F120" s="38">
        <f>SUM(F116:F116)</f>
        <v>9174354.5</v>
      </c>
    </row>
    <row r="121" spans="3:6" ht="16.5" x14ac:dyDescent="0.3">
      <c r="C121" s="13" t="s">
        <v>76</v>
      </c>
      <c r="D121" s="38">
        <f>D8-D120</f>
        <v>2214599.4000000022</v>
      </c>
      <c r="F121" s="38">
        <f>F8-F120</f>
        <v>3325645.5</v>
      </c>
    </row>
    <row r="122" spans="3:6" x14ac:dyDescent="0.25">
      <c r="D122" s="39"/>
      <c r="F122" s="39"/>
    </row>
    <row r="123" spans="3:6" x14ac:dyDescent="0.25">
      <c r="C123" s="9" t="s">
        <v>155</v>
      </c>
      <c r="D123" s="28"/>
      <c r="F123" s="28"/>
    </row>
    <row r="124" spans="3:6" x14ac:dyDescent="0.25">
      <c r="C124" s="17"/>
      <c r="D124" s="40"/>
      <c r="F124" s="39"/>
    </row>
    <row r="125" spans="3:6" ht="16.5" x14ac:dyDescent="0.25">
      <c r="C125" s="137" t="s">
        <v>154</v>
      </c>
      <c r="D125" s="67"/>
      <c r="F125" s="58">
        <f>F121/D121-1</f>
        <v>0.50169168292919997</v>
      </c>
    </row>
  </sheetData>
  <mergeCells count="4">
    <mergeCell ref="B7:D7"/>
    <mergeCell ref="B27:D27"/>
    <mergeCell ref="B42:D42"/>
    <mergeCell ref="D5:F5"/>
  </mergeCells>
  <pageMargins left="0.25" right="0.25" top="0.75" bottom="0.75" header="0.3" footer="0.3"/>
  <pageSetup scale="66" orientation="landscape" r:id="rId1"/>
  <headerFooter>
    <oddFooter>&amp;L&amp;"-,Italic"The information provided in the 2021 Enterprise Regulatory Capital CRT spreadsheet is for illustrative and 
explanatory purposes only and does not replace the regulation published at 12 CFR 1240.   &amp;R&amp;P of &amp;N</oddFooter>
  </headerFooter>
  <rowBreaks count="5" manualBreakCount="5">
    <brk id="21" max="16383" man="1"/>
    <brk id="39" max="16383" man="1"/>
    <brk id="59" max="16383" man="1"/>
    <brk id="80" max="16383" man="1"/>
    <brk id="10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sheetPr>
  <dimension ref="A3:G126"/>
  <sheetViews>
    <sheetView showGridLines="0" zoomScaleNormal="100" zoomScaleSheetLayoutView="100" workbookViewId="0">
      <selection activeCell="G6" sqref="G6"/>
    </sheetView>
  </sheetViews>
  <sheetFormatPr defaultColWidth="8.7109375" defaultRowHeight="15" x14ac:dyDescent="0.25"/>
  <cols>
    <col min="1" max="1" width="13.7109375" style="4" customWidth="1"/>
    <col min="2" max="2" width="13.85546875" style="4" customWidth="1"/>
    <col min="3" max="3" width="28.7109375" style="4" customWidth="1"/>
    <col min="4" max="4" width="31.140625" style="4" customWidth="1"/>
    <col min="5" max="5" width="4.7109375" style="4" customWidth="1"/>
    <col min="6" max="6" width="28.42578125" style="4" customWidth="1"/>
    <col min="7" max="7" width="19.28515625" style="4" customWidth="1"/>
    <col min="8" max="16384" width="8.7109375" style="4"/>
  </cols>
  <sheetData>
    <row r="3" spans="2:7" ht="24.75" x14ac:dyDescent="0.6">
      <c r="D3" s="156" t="s">
        <v>151</v>
      </c>
      <c r="E3" s="156"/>
      <c r="F3" s="156" t="s">
        <v>149</v>
      </c>
    </row>
    <row r="4" spans="2:7" ht="20.25" x14ac:dyDescent="0.3">
      <c r="B4" s="107"/>
      <c r="C4" s="6"/>
      <c r="D4" s="151" t="s">
        <v>35</v>
      </c>
      <c r="F4" s="151" t="s">
        <v>35</v>
      </c>
    </row>
    <row r="5" spans="2:7" ht="9.9499999999999993" customHeight="1" x14ac:dyDescent="0.3">
      <c r="B5" s="107"/>
      <c r="C5" s="6"/>
    </row>
    <row r="6" spans="2:7" s="140" customFormat="1" ht="24.75" x14ac:dyDescent="0.6">
      <c r="B6" s="108"/>
      <c r="C6" s="108"/>
      <c r="D6" s="177" t="s">
        <v>139</v>
      </c>
      <c r="E6" s="177"/>
      <c r="F6" s="177"/>
      <c r="G6" s="109"/>
    </row>
    <row r="7" spans="2:7" s="98" customFormat="1" ht="20.100000000000001" customHeight="1" x14ac:dyDescent="0.6">
      <c r="B7" s="95"/>
      <c r="C7" s="96"/>
      <c r="D7" s="97"/>
      <c r="E7" s="97"/>
      <c r="F7" s="97"/>
    </row>
    <row r="8" spans="2:7" s="98" customFormat="1" ht="20.100000000000001" customHeight="1" x14ac:dyDescent="0.6">
      <c r="B8" s="95"/>
      <c r="C8" s="96"/>
      <c r="D8" s="97"/>
      <c r="E8" s="97"/>
      <c r="F8" s="97"/>
    </row>
    <row r="9" spans="2:7" ht="16.5" x14ac:dyDescent="0.3">
      <c r="C9" s="4" t="s">
        <v>37</v>
      </c>
      <c r="D9" s="101">
        <v>312500000</v>
      </c>
      <c r="E9" s="43"/>
      <c r="F9" s="101">
        <v>312500000</v>
      </c>
    </row>
    <row r="10" spans="2:7" ht="16.5" x14ac:dyDescent="0.3">
      <c r="C10" s="13" t="s">
        <v>38</v>
      </c>
      <c r="D10" s="102"/>
      <c r="F10" s="102"/>
    </row>
    <row r="11" spans="2:7" ht="16.5" x14ac:dyDescent="0.3">
      <c r="C11" s="13" t="s">
        <v>39</v>
      </c>
      <c r="D11" s="102">
        <v>500000000</v>
      </c>
      <c r="F11" s="102">
        <v>500000000</v>
      </c>
    </row>
    <row r="12" spans="2:7" ht="16.5" x14ac:dyDescent="0.3">
      <c r="C12" s="13" t="s">
        <v>40</v>
      </c>
      <c r="D12" s="102">
        <f>D11*0.5%</f>
        <v>2500000</v>
      </c>
      <c r="F12" s="102">
        <f>F11*0.5%</f>
        <v>2500000</v>
      </c>
    </row>
    <row r="13" spans="2:7" ht="16.5" x14ac:dyDescent="0.3">
      <c r="C13" s="13" t="s">
        <v>41</v>
      </c>
      <c r="D13" s="103" t="s">
        <v>1</v>
      </c>
      <c r="F13" s="103" t="s">
        <v>1</v>
      </c>
    </row>
    <row r="14" spans="2:7" ht="11.45" customHeight="1" x14ac:dyDescent="0.25"/>
    <row r="15" spans="2:7" hidden="1" x14ac:dyDescent="0.25"/>
    <row r="16" spans="2:7" ht="18.75" x14ac:dyDescent="0.3">
      <c r="B16" s="8" t="s">
        <v>2</v>
      </c>
      <c r="C16" s="8"/>
      <c r="D16" s="9"/>
      <c r="F16" s="9"/>
    </row>
    <row r="17" spans="2:6" ht="12.6" customHeight="1" x14ac:dyDescent="0.3">
      <c r="B17" s="14"/>
      <c r="C17" s="14"/>
      <c r="D17" s="15"/>
      <c r="F17" s="15"/>
    </row>
    <row r="18" spans="2:6" ht="17.25" x14ac:dyDescent="0.25">
      <c r="D18" s="16" t="s">
        <v>94</v>
      </c>
      <c r="F18" s="16" t="s">
        <v>94</v>
      </c>
    </row>
    <row r="19" spans="2:6" x14ac:dyDescent="0.25">
      <c r="C19" s="4" t="s">
        <v>96</v>
      </c>
      <c r="D19" s="104">
        <v>0.15</v>
      </c>
      <c r="F19" s="104">
        <v>0.15</v>
      </c>
    </row>
    <row r="20" spans="2:6" x14ac:dyDescent="0.25">
      <c r="C20" s="13" t="s">
        <v>5</v>
      </c>
      <c r="D20" s="105">
        <v>0</v>
      </c>
      <c r="F20" s="105">
        <v>0</v>
      </c>
    </row>
    <row r="21" spans="2:6" ht="12.6" customHeight="1" x14ac:dyDescent="0.25">
      <c r="C21" s="17"/>
      <c r="D21" s="17"/>
      <c r="F21" s="17"/>
    </row>
    <row r="22" spans="2:6" ht="17.25" x14ac:dyDescent="0.25">
      <c r="D22" s="16" t="s">
        <v>95</v>
      </c>
      <c r="F22" s="16" t="s">
        <v>95</v>
      </c>
    </row>
    <row r="23" spans="2:6" x14ac:dyDescent="0.25">
      <c r="C23" s="4" t="s">
        <v>96</v>
      </c>
      <c r="D23" s="104">
        <v>1</v>
      </c>
      <c r="F23" s="104">
        <v>1</v>
      </c>
    </row>
    <row r="24" spans="2:6" x14ac:dyDescent="0.25">
      <c r="C24" s="13" t="s">
        <v>5</v>
      </c>
      <c r="D24" s="105">
        <v>0.15</v>
      </c>
      <c r="F24" s="105">
        <v>0.15</v>
      </c>
    </row>
    <row r="25" spans="2:6" ht="11.1" customHeight="1" x14ac:dyDescent="0.25">
      <c r="C25" s="17"/>
      <c r="D25" s="17"/>
      <c r="F25" s="17"/>
    </row>
    <row r="26" spans="2:6" ht="20.25" x14ac:dyDescent="0.35">
      <c r="B26" s="8" t="s">
        <v>42</v>
      </c>
      <c r="C26" s="8"/>
      <c r="D26" s="9"/>
      <c r="F26" s="9"/>
    </row>
    <row r="27" spans="2:6" ht="12" customHeight="1" x14ac:dyDescent="0.3">
      <c r="B27" s="14"/>
      <c r="C27" s="14"/>
      <c r="D27" s="15"/>
      <c r="F27" s="15"/>
    </row>
    <row r="28" spans="2:6" ht="15.95" customHeight="1" x14ac:dyDescent="0.25">
      <c r="D28" s="16" t="s">
        <v>43</v>
      </c>
      <c r="F28" s="16" t="s">
        <v>43</v>
      </c>
    </row>
    <row r="29" spans="2:6" x14ac:dyDescent="0.25">
      <c r="C29" s="4" t="s">
        <v>96</v>
      </c>
      <c r="D29" s="104">
        <v>0</v>
      </c>
      <c r="F29" s="104">
        <v>0</v>
      </c>
    </row>
    <row r="30" spans="2:6" x14ac:dyDescent="0.25">
      <c r="C30" s="13" t="s">
        <v>5</v>
      </c>
      <c r="D30" s="105">
        <v>1</v>
      </c>
      <c r="F30" s="105">
        <v>1</v>
      </c>
    </row>
    <row r="31" spans="2:6" ht="11.45" customHeight="1" x14ac:dyDescent="0.25">
      <c r="C31" s="18"/>
      <c r="D31" s="19"/>
      <c r="F31" s="19"/>
    </row>
    <row r="32" spans="2:6" ht="18.75" x14ac:dyDescent="0.3">
      <c r="B32" s="8" t="s">
        <v>6</v>
      </c>
      <c r="C32" s="8"/>
      <c r="D32" s="9"/>
      <c r="F32" s="9"/>
    </row>
    <row r="33" spans="1:7" ht="16.5" x14ac:dyDescent="0.3">
      <c r="C33" s="13" t="s">
        <v>78</v>
      </c>
      <c r="D33" s="106">
        <v>360</v>
      </c>
      <c r="F33" s="106">
        <v>360</v>
      </c>
    </row>
    <row r="34" spans="1:7" ht="16.5" x14ac:dyDescent="0.3">
      <c r="C34" s="13" t="s">
        <v>79</v>
      </c>
      <c r="D34" s="106">
        <v>360</v>
      </c>
      <c r="F34" s="106">
        <v>360</v>
      </c>
    </row>
    <row r="35" spans="1:7" x14ac:dyDescent="0.25">
      <c r="D35" s="23"/>
      <c r="F35" s="23"/>
    </row>
    <row r="36" spans="1:7" hidden="1" x14ac:dyDescent="0.25">
      <c r="D36" s="22"/>
      <c r="F36" s="22"/>
    </row>
    <row r="37" spans="1:7" s="110" customFormat="1" ht="24.75" x14ac:dyDescent="0.6">
      <c r="A37" s="146" t="s">
        <v>11</v>
      </c>
      <c r="B37" s="146"/>
      <c r="C37" s="146"/>
      <c r="D37" s="147"/>
      <c r="E37" s="147"/>
      <c r="F37" s="147"/>
      <c r="G37" s="147"/>
    </row>
    <row r="39" spans="1:7" ht="36" customHeight="1" x14ac:dyDescent="0.3">
      <c r="B39" s="176" t="s">
        <v>52</v>
      </c>
      <c r="C39" s="176"/>
      <c r="D39" s="176"/>
      <c r="F39" s="162"/>
    </row>
    <row r="40" spans="1:7" ht="16.5" x14ac:dyDescent="0.3">
      <c r="C40" s="24" t="s">
        <v>53</v>
      </c>
      <c r="D40" s="22">
        <f>IF(D13="Y",D9*D43/D11,(D9-D10)*D43/D11)</f>
        <v>0.05</v>
      </c>
      <c r="F40" s="22">
        <f>IF(F13="Y",F9*F43/F11,(F9-F10)*F43/F11)</f>
        <v>0.05</v>
      </c>
    </row>
    <row r="41" spans="1:7" ht="16.5" x14ac:dyDescent="0.3">
      <c r="C41" s="25" t="s">
        <v>54</v>
      </c>
      <c r="D41" s="26">
        <f>D12/D11</f>
        <v>5.0000000000000001E-3</v>
      </c>
      <c r="F41" s="26">
        <f>F12/F11</f>
        <v>5.0000000000000001E-3</v>
      </c>
    </row>
    <row r="42" spans="1:7" x14ac:dyDescent="0.25">
      <c r="C42" s="25" t="s">
        <v>12</v>
      </c>
      <c r="D42" s="27">
        <v>0.1</v>
      </c>
      <c r="F42" s="27">
        <v>0.05</v>
      </c>
    </row>
    <row r="43" spans="1:7" x14ac:dyDescent="0.25">
      <c r="C43" s="25" t="s">
        <v>13</v>
      </c>
      <c r="D43" s="26">
        <v>0.08</v>
      </c>
      <c r="F43" s="26">
        <v>0.08</v>
      </c>
    </row>
    <row r="46" spans="1:7" ht="18.75" x14ac:dyDescent="0.3">
      <c r="B46" s="8" t="s">
        <v>14</v>
      </c>
      <c r="C46" s="8"/>
      <c r="D46" s="28"/>
      <c r="F46" s="28"/>
    </row>
    <row r="47" spans="1:7" ht="17.25" x14ac:dyDescent="0.4">
      <c r="D47" s="29" t="s">
        <v>55</v>
      </c>
      <c r="F47" s="29" t="s">
        <v>55</v>
      </c>
    </row>
    <row r="48" spans="1:7" x14ac:dyDescent="0.25">
      <c r="C48" s="4" t="s">
        <v>96</v>
      </c>
      <c r="D48" s="30">
        <f>IF(SUM(D$40:D$41)&gt;=D23,1/D$43,0%)</f>
        <v>0</v>
      </c>
      <c r="F48" s="30">
        <f>IF(SUM(F$40:F$41)&gt;=F23,1/F$43,0%)</f>
        <v>0</v>
      </c>
    </row>
    <row r="49" spans="2:6" x14ac:dyDescent="0.25">
      <c r="C49" s="13" t="s">
        <v>5</v>
      </c>
      <c r="D49" s="30">
        <f>IF(SUM(D$40:D$41)&gt;=D24,1/D$43,0%)</f>
        <v>0</v>
      </c>
      <c r="F49" s="30">
        <f>IF(SUM(F$40:F$41)&gt;=F24,1/F$43,0%)</f>
        <v>0</v>
      </c>
    </row>
    <row r="50" spans="2:6" ht="17.25" x14ac:dyDescent="0.4">
      <c r="D50" s="29" t="s">
        <v>56</v>
      </c>
      <c r="F50" s="29" t="s">
        <v>56</v>
      </c>
    </row>
    <row r="51" spans="2:6" x14ac:dyDescent="0.25">
      <c r="C51" s="4" t="s">
        <v>96</v>
      </c>
      <c r="D51" s="30">
        <f>IF(SUM(D$40:D$41)&lt;=D19,D$42,0%)</f>
        <v>0.1</v>
      </c>
      <c r="F51" s="30">
        <f>IF(SUM(F$40:F$41)&lt;=F19,F$42,0%)</f>
        <v>0.05</v>
      </c>
    </row>
    <row r="52" spans="2:6" x14ac:dyDescent="0.25">
      <c r="C52" s="13" t="s">
        <v>5</v>
      </c>
      <c r="D52" s="30">
        <f>IF(SUM(D$40:D$41)&lt;=D20,D$42,0%)</f>
        <v>0</v>
      </c>
      <c r="F52" s="30">
        <f>IF(SUM(F$40:F$41)&lt;=F20,F$42,0%)</f>
        <v>0</v>
      </c>
    </row>
    <row r="53" spans="2:6" ht="17.25" x14ac:dyDescent="0.4">
      <c r="D53" s="29" t="s">
        <v>57</v>
      </c>
      <c r="F53" s="29" t="s">
        <v>57</v>
      </c>
    </row>
    <row r="54" spans="2:6" x14ac:dyDescent="0.25">
      <c r="C54" s="4" t="s">
        <v>96</v>
      </c>
      <c r="D54" s="30">
        <f>IF(AND(SUM(D$40:D$41)&gt;D19,SUM(D$40:D$41)&lt;D23),(1/D$43)*(SUM(D$40:D$41)-D19)/(D23-D19)+D$42*(D23-SUM(D$40:D$41))/(D23-D19),0%)</f>
        <v>0</v>
      </c>
      <c r="F54" s="30">
        <f>IF(AND(SUM(F$40:F$41)&gt;F19,SUM(F$40:F$41)&lt;F23),(1/F$43)*(SUM(F$40:F$41)-F19)/(F23-F19)+F$42*(F23-SUM(F$40:F$41))/(F23-F19),0%)</f>
        <v>0</v>
      </c>
    </row>
    <row r="55" spans="2:6" x14ac:dyDescent="0.25">
      <c r="C55" s="13" t="s">
        <v>5</v>
      </c>
      <c r="D55" s="30">
        <f>IF(AND(SUM(D$40:D$41)&gt;D20,SUM(D$40:D$41)&lt;D24),(1/D$43)*(SUM(D$40:D$41)-D20)/(D24-D20)+D$42*(D24-SUM(D$40:D$41))/(D24-D20),0%)</f>
        <v>4.6466666666666674</v>
      </c>
      <c r="F55" s="30">
        <f>IF(AND(SUM(F$40:F$41)&gt;F20,SUM(F$40:F$41)&lt;F24),(1/F$43)*(SUM(F$40:F$41)-F20)/(F24-F20)+F$42*(F24-SUM(F$40:F$41))/(F24-F20),0%)</f>
        <v>4.6150000000000002</v>
      </c>
    </row>
    <row r="56" spans="2:6" ht="17.25" x14ac:dyDescent="0.4">
      <c r="D56" s="29" t="s">
        <v>58</v>
      </c>
      <c r="F56" s="29" t="s">
        <v>58</v>
      </c>
    </row>
    <row r="57" spans="2:6" x14ac:dyDescent="0.25">
      <c r="C57" s="4" t="s">
        <v>96</v>
      </c>
      <c r="D57" s="30">
        <f>MAX(D$42,SUM(D48,D51,D54))</f>
        <v>0.1</v>
      </c>
      <c r="F57" s="30">
        <f>MAX(F$42,SUM(F48,F51,F54))</f>
        <v>0.05</v>
      </c>
    </row>
    <row r="58" spans="2:6" x14ac:dyDescent="0.25">
      <c r="C58" s="13" t="s">
        <v>5</v>
      </c>
      <c r="D58" s="45">
        <f>MAX(D$42,SUM(D49,D52,D55))</f>
        <v>4.6466666666666674</v>
      </c>
      <c r="F58" s="30">
        <f>MAX(F$42,SUM(F49,F52,F55))</f>
        <v>4.6150000000000002</v>
      </c>
    </row>
    <row r="61" spans="2:6" ht="18.75" x14ac:dyDescent="0.3">
      <c r="B61" s="8" t="s">
        <v>15</v>
      </c>
      <c r="C61" s="8"/>
      <c r="D61" s="28"/>
      <c r="F61" s="28"/>
    </row>
    <row r="63" spans="2:6" ht="17.25" x14ac:dyDescent="0.4">
      <c r="C63" s="17"/>
      <c r="D63" s="29" t="s">
        <v>59</v>
      </c>
      <c r="F63" s="29" t="s">
        <v>59</v>
      </c>
    </row>
    <row r="64" spans="2:6" x14ac:dyDescent="0.25">
      <c r="C64" s="4" t="s">
        <v>96</v>
      </c>
      <c r="D64" s="30">
        <f>IF(SUM(D$40:D$41)&gt;=D23,100%,IF(SUM(D$40:D$41)&lt;=D19,0%,(SUM(D$40:D$41)-D19)/(D23-D19)))</f>
        <v>0</v>
      </c>
      <c r="F64" s="30">
        <f>IF(SUM(F$40:F$41)&gt;=F23,100%,IF(SUM(F$40:F$41)&lt;=F19,0%,(SUM(F$40:F$41)-F19)/(F23-F19)))</f>
        <v>0</v>
      </c>
    </row>
    <row r="65" spans="2:6" x14ac:dyDescent="0.25">
      <c r="C65" s="13" t="s">
        <v>5</v>
      </c>
      <c r="D65" s="30">
        <f>IF(SUM(D$40:D$41)&gt;=D24,100%,IF(SUM(D$40:D$41)&lt;=D20,0%,(SUM(D$40:D$41)-D20)/(D24-D20)))</f>
        <v>0.3666666666666667</v>
      </c>
      <c r="F65" s="30">
        <f>IF(SUM(F$40:F$41)&gt;=F24,100%,IF(SUM(F$40:F$41)&lt;=F20,0%,(SUM(F$40:F$41)-F20)/(F24-F20)))</f>
        <v>0.3666666666666667</v>
      </c>
    </row>
    <row r="67" spans="2:6" ht="17.25" x14ac:dyDescent="0.4">
      <c r="C67" s="17"/>
      <c r="D67" s="29" t="s">
        <v>60</v>
      </c>
      <c r="F67" s="29" t="s">
        <v>60</v>
      </c>
    </row>
    <row r="68" spans="2:6" x14ac:dyDescent="0.25">
      <c r="C68" s="4" t="s">
        <v>96</v>
      </c>
      <c r="D68" s="30">
        <f>IF(D$41&gt;=D23,100%,IF(D$41&lt;=D19,0%,(D$41-D19)/(D23-D19)))</f>
        <v>0</v>
      </c>
      <c r="F68" s="30">
        <f>IF(F$41&gt;=F23,100%,IF(F$41&lt;=F19,0%,(F$41-F19)/(F23-F19)))</f>
        <v>0</v>
      </c>
    </row>
    <row r="69" spans="2:6" x14ac:dyDescent="0.25">
      <c r="C69" s="13" t="s">
        <v>5</v>
      </c>
      <c r="D69" s="30">
        <f>IF(D$41&gt;=D24,100%,IF(D$41&lt;=D20,0%,(D$41-D20)/(D24-D20)))</f>
        <v>3.3333333333333333E-2</v>
      </c>
      <c r="F69" s="30">
        <f>IF(F$41&gt;=F24,100%,IF(F$41&lt;=F20,0%,(F$41-F20)/(F24-F20)))</f>
        <v>3.3333333333333333E-2</v>
      </c>
    </row>
    <row r="72" spans="2:6" ht="18.75" x14ac:dyDescent="0.3">
      <c r="B72" s="8" t="s">
        <v>16</v>
      </c>
      <c r="C72" s="8"/>
      <c r="D72" s="28"/>
      <c r="F72" s="28"/>
    </row>
    <row r="75" spans="2:6" x14ac:dyDescent="0.25">
      <c r="C75" s="9" t="s">
        <v>18</v>
      </c>
      <c r="D75" s="28"/>
      <c r="F75" s="28"/>
    </row>
    <row r="76" spans="2:6" ht="16.5" x14ac:dyDescent="0.3">
      <c r="C76" s="13" t="s">
        <v>64</v>
      </c>
      <c r="D76" s="34">
        <f>D33/D34</f>
        <v>1</v>
      </c>
      <c r="F76" s="34">
        <f>F33/F34</f>
        <v>1</v>
      </c>
    </row>
    <row r="77" spans="2:6" ht="16.5" x14ac:dyDescent="0.3">
      <c r="C77" s="24" t="s">
        <v>66</v>
      </c>
      <c r="D77" s="35">
        <f>MAX(SUM(D$40:D$41)*D76-D$41,0%)</f>
        <v>0.05</v>
      </c>
      <c r="F77" s="35">
        <f>MAX(SUM(F$40:F$41)*F76-F$41,0%)</f>
        <v>0.05</v>
      </c>
    </row>
    <row r="79" spans="2:6" ht="18" x14ac:dyDescent="0.4">
      <c r="D79" s="31" t="s">
        <v>68</v>
      </c>
      <c r="F79" s="31" t="s">
        <v>68</v>
      </c>
    </row>
    <row r="80" spans="2:6" x14ac:dyDescent="0.25">
      <c r="C80" s="4" t="s">
        <v>96</v>
      </c>
      <c r="D80" s="30">
        <f>IF(D64&gt;D68,(MAX(0,MIN(1,(D$77+D$41-D19)/(D23-D19)))-D68)/(D64-D68),100%)</f>
        <v>1</v>
      </c>
      <c r="F80" s="30">
        <f>IF(F64&gt;F68,(MAX(0,MIN(1,(F$77+F$41-F19)/(F23-F19)))-F68)/(F64-F68),100%)</f>
        <v>1</v>
      </c>
    </row>
    <row r="81" spans="2:6" x14ac:dyDescent="0.25">
      <c r="C81" s="13" t="s">
        <v>5</v>
      </c>
      <c r="D81" s="30">
        <f>IF(D65&gt;D69,(MAX(0,MIN(1,(D$77+D$41-D20)/(D24-D20)))-D69)/(D65-D69),100%)</f>
        <v>1</v>
      </c>
      <c r="F81" s="30">
        <f>IF(F65&gt;F69,(MAX(0,MIN(1,(F$77+F$41-F20)/(F24-F20)))-F69)/(F65-F69),100%)</f>
        <v>1</v>
      </c>
    </row>
    <row r="84" spans="2:6" x14ac:dyDescent="0.25">
      <c r="C84" s="9" t="s">
        <v>146</v>
      </c>
      <c r="D84" s="28"/>
      <c r="F84" s="28"/>
    </row>
    <row r="85" spans="2:6" ht="16.5" x14ac:dyDescent="0.25">
      <c r="C85" s="64" t="s">
        <v>70</v>
      </c>
      <c r="D85" s="65">
        <f>IF(D40&lt;=1.6%,100%,IF(D40&gt;=4%,90%,1.06667-4.16667*D40))</f>
        <v>0.9</v>
      </c>
      <c r="F85" s="65">
        <v>1</v>
      </c>
    </row>
    <row r="88" spans="2:6" ht="18.75" x14ac:dyDescent="0.3">
      <c r="B88" s="8" t="s">
        <v>19</v>
      </c>
      <c r="C88" s="8"/>
      <c r="D88" s="28"/>
      <c r="F88" s="28"/>
    </row>
    <row r="90" spans="2:6" x14ac:dyDescent="0.25">
      <c r="C90" s="9" t="s">
        <v>20</v>
      </c>
      <c r="D90" s="28"/>
      <c r="F90" s="28"/>
    </row>
    <row r="92" spans="2:6" ht="17.25" x14ac:dyDescent="0.4">
      <c r="D92" s="31" t="s">
        <v>71</v>
      </c>
      <c r="F92" s="31" t="s">
        <v>71</v>
      </c>
    </row>
    <row r="93" spans="2:6" x14ac:dyDescent="0.25">
      <c r="C93" s="4" t="s">
        <v>96</v>
      </c>
      <c r="D93" s="37">
        <f>100%-D29*D80*D$85</f>
        <v>1</v>
      </c>
      <c r="F93" s="37">
        <f>100%-F29*F80*F$85</f>
        <v>1</v>
      </c>
    </row>
    <row r="94" spans="2:6" x14ac:dyDescent="0.25">
      <c r="C94" s="13" t="s">
        <v>5</v>
      </c>
      <c r="D94" s="37">
        <f>100%-D30*D81*D$85</f>
        <v>9.9999999999999978E-2</v>
      </c>
      <c r="F94" s="37">
        <f>100%-F30*F81*F$85</f>
        <v>0</v>
      </c>
    </row>
    <row r="97" spans="2:6" x14ac:dyDescent="0.25">
      <c r="C97" s="9" t="s">
        <v>21</v>
      </c>
      <c r="D97" s="28"/>
      <c r="F97" s="28"/>
    </row>
    <row r="99" spans="2:6" ht="17.25" x14ac:dyDescent="0.4">
      <c r="D99" s="31" t="s">
        <v>72</v>
      </c>
      <c r="F99" s="31" t="s">
        <v>72</v>
      </c>
    </row>
    <row r="100" spans="2:6" x14ac:dyDescent="0.25">
      <c r="C100" s="4" t="s">
        <v>96</v>
      </c>
      <c r="D100" s="38">
        <f>D93*D$11*(D23-D19)*(1-D68/(D57*D$43))</f>
        <v>425000000</v>
      </c>
      <c r="F100" s="38">
        <f>F93*F$11*(F23-F19)*(1-F68/(F57*F$43))</f>
        <v>425000000</v>
      </c>
    </row>
    <row r="101" spans="2:6" x14ac:dyDescent="0.25">
      <c r="C101" s="13" t="s">
        <v>5</v>
      </c>
      <c r="D101" s="38">
        <f>D94*D$11*(D24-D20)*(1-D69/(D58*D$43))</f>
        <v>6827474.8923959825</v>
      </c>
      <c r="F101" s="38">
        <f>F94*F$11*(F24-F20)*(1-F69/(F58*F$43))</f>
        <v>0</v>
      </c>
    </row>
    <row r="103" spans="2:6" ht="18.75" x14ac:dyDescent="0.3">
      <c r="B103" s="8" t="s">
        <v>22</v>
      </c>
      <c r="C103" s="8"/>
      <c r="D103" s="28"/>
      <c r="F103" s="28"/>
    </row>
    <row r="105" spans="2:6" x14ac:dyDescent="0.25">
      <c r="C105" s="9" t="s">
        <v>23</v>
      </c>
      <c r="D105" s="28"/>
      <c r="F105" s="28"/>
    </row>
    <row r="107" spans="2:6" ht="17.25" x14ac:dyDescent="0.4">
      <c r="D107" s="31" t="s">
        <v>73</v>
      </c>
      <c r="F107" s="31" t="s">
        <v>73</v>
      </c>
    </row>
    <row r="108" spans="2:6" x14ac:dyDescent="0.25">
      <c r="C108" s="4" t="s">
        <v>96</v>
      </c>
      <c r="D108" s="38">
        <f>IF(D$13="N",D$10*(D23-D19),0)</f>
        <v>0</v>
      </c>
      <c r="F108" s="38">
        <f>IF(F$13="N",F$10*(F23-F19),0)</f>
        <v>0</v>
      </c>
    </row>
    <row r="109" spans="2:6" x14ac:dyDescent="0.25">
      <c r="C109" s="13" t="s">
        <v>5</v>
      </c>
      <c r="D109" s="38">
        <f>IF(D$13="N",D$10*(D24-D20),0)</f>
        <v>0</v>
      </c>
      <c r="F109" s="38">
        <f>IF(F$13="N",F$10*(F24-F20),0)</f>
        <v>0</v>
      </c>
    </row>
    <row r="112" spans="2:6" x14ac:dyDescent="0.25">
      <c r="C112" s="9" t="s">
        <v>24</v>
      </c>
      <c r="D112" s="28"/>
      <c r="F112" s="28"/>
    </row>
    <row r="114" spans="3:7" ht="17.25" x14ac:dyDescent="0.4">
      <c r="D114" s="31" t="s">
        <v>74</v>
      </c>
      <c r="F114" s="31" t="s">
        <v>74</v>
      </c>
    </row>
    <row r="115" spans="3:7" x14ac:dyDescent="0.25">
      <c r="C115" s="4" t="s">
        <v>96</v>
      </c>
      <c r="D115" s="38">
        <f>D100*D57+D108</f>
        <v>42500000</v>
      </c>
      <c r="F115" s="38">
        <f>F100*F57+F108</f>
        <v>21250000</v>
      </c>
      <c r="G115" s="164"/>
    </row>
    <row r="116" spans="3:7" x14ac:dyDescent="0.25">
      <c r="C116" s="13" t="s">
        <v>5</v>
      </c>
      <c r="D116" s="38">
        <f>D101*D58+D109</f>
        <v>31725000.000000004</v>
      </c>
      <c r="F116" s="38">
        <f>F101*F58+F109</f>
        <v>0</v>
      </c>
    </row>
    <row r="117" spans="3:7" x14ac:dyDescent="0.25">
      <c r="D117" s="39"/>
      <c r="F117" s="39"/>
    </row>
    <row r="118" spans="3:7" x14ac:dyDescent="0.25">
      <c r="C118" s="9" t="s">
        <v>25</v>
      </c>
      <c r="D118" s="28"/>
      <c r="F118" s="28"/>
    </row>
    <row r="119" spans="3:7" x14ac:dyDescent="0.25">
      <c r="C119" s="17"/>
      <c r="D119" s="40"/>
      <c r="F119" s="40"/>
    </row>
    <row r="120" spans="3:7" ht="16.5" x14ac:dyDescent="0.3">
      <c r="C120" s="11" t="s">
        <v>75</v>
      </c>
      <c r="D120" s="38">
        <f>SUM(D115:D116)</f>
        <v>74225000</v>
      </c>
      <c r="F120" s="38">
        <f>SUM(F115:F116)</f>
        <v>21250000</v>
      </c>
    </row>
    <row r="121" spans="3:7" ht="16.5" x14ac:dyDescent="0.3">
      <c r="C121" s="13" t="s">
        <v>76</v>
      </c>
      <c r="D121" s="38">
        <f>D9-D120</f>
        <v>238275000</v>
      </c>
      <c r="F121" s="38">
        <f>F9-F120</f>
        <v>291250000</v>
      </c>
    </row>
    <row r="122" spans="3:7" x14ac:dyDescent="0.25">
      <c r="D122" s="39"/>
      <c r="F122" s="39"/>
    </row>
    <row r="123" spans="3:7" x14ac:dyDescent="0.25">
      <c r="C123" s="9" t="s">
        <v>155</v>
      </c>
      <c r="D123" s="28"/>
      <c r="F123" s="28"/>
    </row>
    <row r="124" spans="3:7" x14ac:dyDescent="0.25">
      <c r="C124" s="17"/>
      <c r="D124" s="40"/>
      <c r="F124" s="39"/>
    </row>
    <row r="125" spans="3:7" ht="16.5" x14ac:dyDescent="0.25">
      <c r="C125" s="137" t="s">
        <v>154</v>
      </c>
      <c r="D125" s="67"/>
      <c r="F125" s="163">
        <f>F121/D121-1</f>
        <v>0.22232714300702971</v>
      </c>
    </row>
    <row r="126" spans="3:7" x14ac:dyDescent="0.25">
      <c r="D126" s="39"/>
      <c r="F126" s="39"/>
    </row>
  </sheetData>
  <mergeCells count="2">
    <mergeCell ref="B39:D39"/>
    <mergeCell ref="D6:F6"/>
  </mergeCells>
  <pageMargins left="0.25" right="0.25" top="0.75" bottom="0.75" header="0.3" footer="0.3"/>
  <pageSetup scale="66" orientation="landscape" r:id="rId1"/>
  <headerFooter>
    <oddFooter>&amp;L&amp;"-,Italic"The information provided in the 2021 Enterprise Regulatory Capital CRT spreadsheet is for illustrative and 
explanatory purposes only and does not replace the regulation published at 12 CFR 1240.   &amp;R&amp;P of &amp;N</oddFooter>
  </headerFooter>
  <rowBreaks count="4" manualBreakCount="4">
    <brk id="25" max="16383" man="1"/>
    <brk id="45" max="16383" man="1"/>
    <brk id="71" max="16383" man="1"/>
    <brk id="10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A0C5FAE06014D88F361999695B8A1" ma:contentTypeVersion="3" ma:contentTypeDescription="Create a new document." ma:contentTypeScope="" ma:versionID="bbc97c268efb76d877efb38747819d9c">
  <xsd:schema xmlns:xsd="http://www.w3.org/2001/XMLSchema" xmlns:xs="http://www.w3.org/2001/XMLSchema" xmlns:p="http://schemas.microsoft.com/office/2006/metadata/properties" xmlns:ns1="http://schemas.microsoft.com/sharepoint/v3" xmlns:ns2="946b7fcb-b6b4-4ef2-be73-dba3a580ace5" targetNamespace="http://schemas.microsoft.com/office/2006/metadata/properties" ma:root="true" ma:fieldsID="924ab96ce4d3bb85259f56251c48dc5b" ns1:_="" ns2:_="">
    <xsd:import namespace="http://schemas.microsoft.com/sharepoint/v3"/>
    <xsd:import namespace="946b7fcb-b6b4-4ef2-be73-dba3a580ace5"/>
    <xsd:element name="properties">
      <xsd:complexType>
        <xsd:sequence>
          <xsd:element name="documentManagement">
            <xsd:complexType>
              <xsd:all>
                <xsd:element ref="ns1:PublishingStartDate" minOccurs="0"/>
                <xsd:element ref="ns1:PublishingExpirationDate" minOccurs="0"/>
                <xsd:element ref="ns2:SendEmailAlert"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6b7fcb-b6b4-4ef2-be73-dba3a580ace5" elementFormDefault="qualified">
    <xsd:import namespace="http://schemas.microsoft.com/office/2006/documentManagement/types"/>
    <xsd:import namespace="http://schemas.microsoft.com/office/infopath/2007/PartnerControls"/>
    <xsd:element name="SendEmailAlert" ma:index="10" nillable="true" ma:displayName="SendEmailAlert" ma:default="1" ma:description="A flag to control the Email Alerts for the page. If set to true, an email alert will be sent out provided the Email Alerts feature is turned on." ma:internalName="SendEmailAlert">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SendEmailAlert xmlns="946b7fcb-b6b4-4ef2-be73-dba3a580ace5">true</SendEmailAlert>
    <PublishingStartDate xmlns="http://schemas.microsoft.com/sharepoint/v3">2021-09-15T18:00:00+00:00</PublishingStartDate>
  </documentManagement>
</p:properties>
</file>

<file path=customXml/itemProps1.xml><?xml version="1.0" encoding="utf-8"?>
<ds:datastoreItem xmlns:ds="http://schemas.openxmlformats.org/officeDocument/2006/customXml" ds:itemID="{8A53164E-2838-4E0F-A04F-3FC8703DA614}"/>
</file>

<file path=customXml/itemProps2.xml><?xml version="1.0" encoding="utf-8"?>
<ds:datastoreItem xmlns:ds="http://schemas.openxmlformats.org/officeDocument/2006/customXml" ds:itemID="{778530A7-3CA6-4BFC-8D9C-329CE7F72880}"/>
</file>

<file path=customXml/itemProps3.xml><?xml version="1.0" encoding="utf-8"?>
<ds:datastoreItem xmlns:ds="http://schemas.openxmlformats.org/officeDocument/2006/customXml" ds:itemID="{FCEA4328-AF58-4792-A36B-0AAA4C353F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Cover Page</vt:lpstr>
      <vt:lpstr>Generic SF CRT</vt:lpstr>
      <vt:lpstr>Generic SF STACR and ACIS</vt:lpstr>
      <vt:lpstr>Generic SF CAS and CIRT</vt:lpstr>
      <vt:lpstr>Generic MF DUS</vt:lpstr>
      <vt:lpstr>Generic MF KDeal</vt:lpstr>
      <vt:lpstr>'Cover Page'!Print_Area</vt:lpstr>
      <vt:lpstr>'Generic MF DUS'!Print_Area</vt:lpstr>
      <vt:lpstr>'Generic MF KDeal'!Print_Area</vt:lpstr>
      <vt:lpstr>'Generic SF CAS and CIRT'!Print_Area</vt:lpstr>
      <vt:lpstr>'Generic SF CRT'!Print_Area</vt:lpstr>
      <vt:lpstr>'Generic SF STACR and ACIS'!Print_Area</vt:lpstr>
      <vt:lpstr>'Generic MF DUS'!Print_Titles</vt:lpstr>
      <vt:lpstr>'Generic MF KDeal'!Print_Titles</vt:lpstr>
      <vt:lpstr>'Generic SF CAS and CIRT'!Print_Titles</vt:lpstr>
      <vt:lpstr>'Generic SF CRT'!Print_Titles</vt:lpstr>
      <vt:lpstr>'Generic SF STACR and ACIS'!Print_Titles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2020-05-29T16:01:01Z</dcterms:created>
  <dcterms:modified xsi:type="dcterms:W3CDTF">2021-09-15T13:22:09Z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0x010100E04A0C5FAE06014D88F361999695B8A1</vt:lpwstr>
  </property>
</Properties>
</file>